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ThisWorkbook"/>
  <mc:AlternateContent xmlns:mc="http://schemas.openxmlformats.org/markup-compatibility/2006">
    <mc:Choice Requires="x15">
      <x15ac:absPath xmlns:x15ac="http://schemas.microsoft.com/office/spreadsheetml/2010/11/ac" url="J:\FINANCE\FINSTMTS\2023-24\"/>
    </mc:Choice>
  </mc:AlternateContent>
  <xr:revisionPtr revIDLastSave="0" documentId="13_ncr:1_{4B3B4BEF-359B-4CD3-9EC3-87E0F7047DCA}" xr6:coauthVersionLast="47" xr6:coauthVersionMax="47" xr10:uidLastSave="{00000000-0000-0000-0000-000000000000}"/>
  <bookViews>
    <workbookView xWindow="-120" yWindow="-120" windowWidth="29040" windowHeight="15720" tabRatio="949" xr2:uid="{00000000-000D-0000-FFFF-FFFF00000000}"/>
  </bookViews>
  <sheets>
    <sheet name="GASB 68 JEs" sheetId="85" r:id="rId1"/>
    <sheet name="Sheet3" sheetId="127" state="hidden" r:id="rId2"/>
    <sheet name="GASB 68 Sch Input CY" sheetId="120" r:id="rId3"/>
    <sheet name="CY Calculations" sheetId="139" state="hidden" r:id="rId4"/>
    <sheet name="GASB 68 Sch Input PY " sheetId="138" r:id="rId5"/>
    <sheet name="Amortization Input CY" sheetId="130" r:id="rId6"/>
    <sheet name="Ret Contr Input - LEA" sheetId="108" r:id="rId7"/>
    <sheet name="Ret Contr Input - RESA" sheetId="125" state="hidden" r:id="rId8"/>
    <sheet name="Ret Contr Input - MCVC" sheetId="126" r:id="rId9"/>
    <sheet name="RESA Proportion" sheetId="117" state="hidden" r:id="rId10"/>
    <sheet name="MCVC Proportion" sheetId="118" r:id="rId11"/>
    <sheet name="Summary of GASB 68 Activity" sheetId="128" r:id="rId12"/>
    <sheet name="Change in Proportion - LEA" sheetId="122" r:id="rId13"/>
    <sheet name="Change in Proportion - RESAs" sheetId="123" state="hidden" r:id="rId14"/>
    <sheet name="Change in Proportion - MCVCs" sheetId="124" r:id="rId15"/>
    <sheet name="Net LEA Amounts" sheetId="119" r:id="rId16"/>
    <sheet name="GASB 68 State Aid Support" sheetId="129" r:id="rId17"/>
    <sheet name="Notes Section" sheetId="131" r:id="rId18"/>
    <sheet name="NPL Assoc. w LEA" sheetId="132" r:id="rId19"/>
    <sheet name="Pension Deferred In_outflows" sheetId="133" r:id="rId20"/>
    <sheet name="Amort. of Def. Amounts" sheetId="134" r:id="rId21"/>
    <sheet name="Sensitivity Analysis" sheetId="135" r:id="rId22"/>
    <sheet name="Prop Share of NPL" sheetId="136" r:id="rId23"/>
    <sheet name="Schedule of District Contrib" sheetId="137" r:id="rId24"/>
  </sheets>
  <externalReferences>
    <externalReference r:id="rId25"/>
  </externalReferences>
  <definedNames>
    <definedName name="Allocable_Pension_Expense" comment="The sum of the allocable pension expense for the LEA, RESA, and MCVC should reconcile to the allocable pension expense as reported on the GASB 68 audited schedules.">'Net LEA Amounts'!$Y$34</definedName>
    <definedName name="Amort_Change_In_Proportion_LEA" comment="The sum of future amortizations for changes in proportion should reconcile to the net of deferred outflows/inflows due to change in proportion as calculated in cell E54.">'Change in Proportion - LEA'!$C$85</definedName>
    <definedName name="Amort_Change_In_Proportion_MCVC" comment="The sum of future amortizations for changes in proportion should reconcile to the net of deferred outflows/inflows due to change in proportion as calculated in cell E54.">'Change in Proportion - MCVCs'!$C$79</definedName>
    <definedName name="Amort_Change_In_Proportion_RESA" comment="The sum of future amortizations for changes in proportion should reconcile to the net of deferred outflows/inflows due to change in proportion as calculated in cell E54.">'Change in Proportion - RESAs'!$C$79</definedName>
    <definedName name="Amortization" comment="The sum of the amortization for the LEA, RESA, and MCVC should reconcile to the amortization as reported on the GASB 68 audited schedules.">'Net LEA Amounts'!$AA$34</definedName>
    <definedName name="BAL_SHEET" localSheetId="17">#REF!</definedName>
    <definedName name="BOND_BA" localSheetId="17">#REF!</definedName>
    <definedName name="BOND_BS" localSheetId="17">#REF!</definedName>
    <definedName name="BOND_RE" localSheetId="17">#REF!</definedName>
    <definedName name="CAPITAL_BA" localSheetId="17">#REF!</definedName>
    <definedName name="CAPITAL_BS" localSheetId="17">#REF!</definedName>
    <definedName name="CAPTIAL_RE" localSheetId="17">#REF!</definedName>
    <definedName name="CDC_BA" localSheetId="17">#REF!</definedName>
    <definedName name="CDC_BS" localSheetId="17">#REF!</definedName>
    <definedName name="CDC_RE" localSheetId="17">#REF!</definedName>
    <definedName name="CUR_EXP_BA" localSheetId="17">#REF!</definedName>
    <definedName name="DEBT_BA" localSheetId="17">#REF!</definedName>
    <definedName name="DEBT_BS" localSheetId="17">#REF!</definedName>
    <definedName name="DEBT_RE" localSheetId="17">#REF!</definedName>
    <definedName name="DI_Assumptions" comment="To ensure the calculated deferred inflow of resources due to changes in assumptions reconciles with the total from the audited GASB 68 schedules.">'Net LEA Amounts'!$U$34</definedName>
    <definedName name="DI_Experience" comment="Sum of deferred inflows due to difference between expected and actual experience for the LEA, RESA, and MCVC reconciles with the amount reported on the GASB 68 audited schedules.">'Net LEA Amounts'!$Q$34</definedName>
    <definedName name="DI_Investments" comment="Sum of deferred inflows due to difference between projected and actual earnings for the LEA, RESA, and MCVC reconciles with the amount reported on the GASB 68 audited schedules.">'Net LEA Amounts'!$O$34</definedName>
    <definedName name="DI_Note" comment="Total deferred inflows per the note disclosures reconciles to the total reported on the face of the district-wide statement of net position.">'Pension Deferred In_outflows'!$E$18</definedName>
    <definedName name="DI_Proportion" comment="The net of Deferred Outflows AND Inflows due to changes in proportion for the LEA, RESA, and MCVC reconciles with the net amounts reported on the GASB 68 audited schedules.">'Net LEA Amounts'!$S$34</definedName>
    <definedName name="DI_Total" comment="Total net deferred outflows AND inflows for the LEA, RESA, and MCVC should reconcile to the total net deferred outflows and inflows as reported on the GASB 68 audited schedules.">'Net LEA Amounts'!$W$34</definedName>
    <definedName name="DO_Assumptions" comment="To ensure the calculated deferred outflow of resources due to changes in assumptions reconciles with the audited GASB 68 schedules.">'Net LEA Amounts'!$K$34</definedName>
    <definedName name="DO_Experience" comment="Sum of Deferred Outflows due to difference between expected and actual experience for the LEA, RESA, and MCVC reconciles with the amount reported on the GASB 68 audited schedules.">'Net LEA Amounts'!$G$34</definedName>
    <definedName name="DO_Investments" comment="Sum of Deferred Outflows due to difference between projected and actual earnings for the LEA, RESA, and MCVC reconciles with the amount reported on the GASB 68 audited schedules.">'Net LEA Amounts'!$E$34</definedName>
    <definedName name="DO_Note" comment="Total deferred outflows per the note disclosures reconciles to the total reported on the face of the district-wide statement of net position.">'Pension Deferred In_outflows'!$C$18</definedName>
    <definedName name="DO_Proportion" comment="The net of Deferred Outflows AND Inflows due to changes in proportion for the LEA, RESA, and MCVC reconciles with the net amounts reported on the GASB 68 audited schedules.">'Net LEA Amounts'!$I$34</definedName>
    <definedName name="DO_Total" comment="Total net deferred outflows AND inflows for the LEA, RESA, and MCVC should reconcile to the total net deferred outflows and inflows as reported on the GASB 68 audited schedules.">'Net LEA Amounts'!$M$34</definedName>
    <definedName name="FORMAT" localSheetId="17">#REF!</definedName>
    <definedName name="Future_Amort" comment="The total of all future amortization of deferred amounts should agree to the net of all deferred outflows and inflows as reported on the district-wide statement of net position.">'Amort. of Def. Amounts'!$C$17</definedName>
    <definedName name="GFAAG" localSheetId="17">#REF!</definedName>
    <definedName name="GLTDAG" localSheetId="17">#REF!</definedName>
    <definedName name="JEs_In_Balance" comment="GASB 68 Conversion Entries are in Balance if formula value is zero.">'GASB 68 JEs'!$H$101</definedName>
    <definedName name="MCVC_BA" localSheetId="17">#REF!</definedName>
    <definedName name="MCVC_BS" localSheetId="17">#REF!</definedName>
    <definedName name="MCVC_RE" localSheetId="17">#REF!</definedName>
    <definedName name="Net_Deferred_In_Outflows_Reconcile" comment="The net of all deferred outflows and inflows per the Summary of GASB 68 Activity tab should reconcile to the net of all deferred outflows and inflows per the GASB 68 Schedules PLUS the deferred outflow for contributions made after the measurement date.">'Summary of GASB 68 Activity'!$I$50</definedName>
    <definedName name="Net_Pension_Expense" comment="The sum of the net pension expense for the LEA, RESA, and MCVC should reconcile to the net pension expense as reported on the GASB 68 audited schedules.">'Net LEA Amounts'!$AC$34</definedName>
    <definedName name="NPL" comment="Sum of NPL for the LEA, RESA, and MCVC reconciles with the NPL reported on the GASB 68 audited schedules.">'Net LEA Amounts'!$C$34</definedName>
    <definedName name="Pension_Expense_Reconciles" comment="Entries to Pension Expense should reconcile to the GASB 68 schedules within an immaterial difference.">'GASB 68 JEs'!$F$120</definedName>
    <definedName name="PERM_BA" localSheetId="17">#REF!</definedName>
    <definedName name="PERM_BS" localSheetId="17">#REF!</definedName>
    <definedName name="PERM_RE" localSheetId="17">#REF!</definedName>
    <definedName name="PRINT_ALL" localSheetId="17">#REF!</definedName>
    <definedName name="_xlnm.Print_Area" localSheetId="20">'Amort. of Def. Amounts'!$A$1:$G$13</definedName>
    <definedName name="_xlnm.Print_Area" localSheetId="0">'GASB 68 JEs'!$A$1:$G$102</definedName>
    <definedName name="_xlnm.Print_Area" localSheetId="17">'Notes Section'!$A$1:$H$46</definedName>
    <definedName name="_xlnm.Print_Area" localSheetId="18">'NPL Assoc. w LEA'!$A$1:$E$10</definedName>
    <definedName name="_xlnm.Print_Area" localSheetId="19">'Pension Deferred In_outflows'!$A$1:$E$15</definedName>
    <definedName name="_xlnm.Print_Area" localSheetId="22">'Prop Share of NPL'!$A$1:$T$27</definedName>
    <definedName name="_xlnm.Print_Area" localSheetId="23">'Schedule of District Contrib'!$A$1:$U$22</definedName>
    <definedName name="_xlnm.Print_Area" localSheetId="21">'Sensitivity Analysis'!$A$1:$H$10</definedName>
    <definedName name="RESA__BS" localSheetId="17">#REF!</definedName>
    <definedName name="RESA_BA" localSheetId="17">#REF!</definedName>
    <definedName name="RESA_BS" localSheetId="17">#REF!</definedName>
    <definedName name="RESA_RE" localSheetId="17">#REF!</definedName>
    <definedName name="REV_EXP" localSheetId="17">#REF!</definedName>
    <definedName name="State_Aid_Outside_of_Sp_Funding" comment="Total debit/(credit) to unrestricted state aid recorded in conversion entry U4 for the State's contributions to TRS in excess of those required by the Special Funding Situation.">'GASB 68 JEs'!$H$77</definedName>
    <definedName name="Valid_Entity_Type">Sheet3!$A$1:$A$3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8" i="137" l="1"/>
  <c r="T25" i="136"/>
  <c r="T23" i="136"/>
  <c r="T18" i="136"/>
  <c r="L23" i="124"/>
  <c r="L24" i="124"/>
  <c r="L25" i="124"/>
  <c r="L8" i="122"/>
  <c r="L20" i="122"/>
  <c r="D22" i="130"/>
  <c r="D21" i="130"/>
  <c r="D20" i="130"/>
  <c r="D19" i="130"/>
  <c r="G27" i="119" l="1"/>
  <c r="Q27" i="119"/>
  <c r="Z16" i="120"/>
  <c r="K23" i="124"/>
  <c r="K24" i="124"/>
  <c r="K25" i="124"/>
  <c r="J25" i="124"/>
  <c r="J23" i="124"/>
  <c r="J24" i="124"/>
  <c r="K26" i="124" l="1"/>
  <c r="E27" i="119"/>
  <c r="G24" i="119"/>
  <c r="E24" i="119"/>
  <c r="D24" i="139"/>
  <c r="C24" i="139"/>
  <c r="R18" i="137" l="1"/>
  <c r="R25" i="136"/>
  <c r="P25" i="136"/>
  <c r="N25" i="136"/>
  <c r="L25" i="136"/>
  <c r="J25" i="136"/>
  <c r="H25" i="136"/>
  <c r="F25" i="136"/>
  <c r="B25" i="136"/>
  <c r="D25" i="136"/>
  <c r="F30" i="136"/>
  <c r="H30" i="136" s="1"/>
  <c r="J30" i="136" s="1"/>
  <c r="L30" i="136" s="1"/>
  <c r="N30" i="136" s="1"/>
  <c r="P30" i="136" s="1"/>
  <c r="R30" i="136" s="1"/>
  <c r="T30" i="136" s="1"/>
  <c r="D30" i="136"/>
  <c r="R23" i="136"/>
  <c r="R18" i="136"/>
  <c r="A29" i="138"/>
  <c r="L23" i="122" l="1"/>
  <c r="A2" i="130"/>
  <c r="A5" i="108" s="1"/>
  <c r="A5" i="126" s="1"/>
  <c r="A2" i="118" s="1"/>
  <c r="A1" i="138"/>
  <c r="A29" i="120"/>
  <c r="A43" i="120" s="1"/>
  <c r="L29" i="122" l="1"/>
  <c r="L32" i="122" s="1"/>
  <c r="L30" i="122"/>
  <c r="L31" i="122"/>
  <c r="C2" i="122"/>
  <c r="C2" i="124" s="1"/>
  <c r="G2" i="119" s="1"/>
  <c r="A2" i="129" s="1"/>
  <c r="F3" i="132" s="1"/>
  <c r="F3" i="133" s="1"/>
  <c r="I3" i="134" s="1"/>
  <c r="I3" i="135" s="1"/>
  <c r="W1" i="136" s="1"/>
  <c r="W1" i="137" s="1"/>
  <c r="A2" i="128"/>
  <c r="M65" i="126"/>
  <c r="I65" i="126"/>
  <c r="H65" i="126"/>
  <c r="E65" i="126"/>
  <c r="D65" i="126"/>
  <c r="P18" i="137" l="1"/>
  <c r="I23" i="124"/>
  <c r="I24" i="124"/>
  <c r="I25" i="124"/>
  <c r="L26" i="124"/>
  <c r="E23" i="122"/>
  <c r="J26" i="124" l="1"/>
  <c r="F37" i="120" l="1"/>
  <c r="B37" i="120"/>
  <c r="P23" i="136" l="1"/>
  <c r="P18" i="136"/>
  <c r="J23" i="122"/>
  <c r="M72" i="126"/>
  <c r="M73" i="126"/>
  <c r="M74" i="126"/>
  <c r="M75" i="126"/>
  <c r="M76" i="126"/>
  <c r="M77" i="126"/>
  <c r="M78" i="126"/>
  <c r="M79" i="126"/>
  <c r="M80" i="126"/>
  <c r="M71" i="126"/>
  <c r="M70" i="126"/>
  <c r="J64" i="126"/>
  <c r="F64" i="126"/>
  <c r="J63" i="126"/>
  <c r="F63" i="126"/>
  <c r="J62" i="126"/>
  <c r="F62" i="126"/>
  <c r="J61" i="126"/>
  <c r="F61" i="126"/>
  <c r="J60" i="126"/>
  <c r="F60" i="126"/>
  <c r="J59" i="126"/>
  <c r="F59" i="126"/>
  <c r="J58" i="126"/>
  <c r="F58" i="126"/>
  <c r="J57" i="126"/>
  <c r="F57" i="126"/>
  <c r="J56" i="126"/>
  <c r="F56" i="126"/>
  <c r="J55" i="126"/>
  <c r="F55" i="126"/>
  <c r="J54" i="126"/>
  <c r="F54" i="126"/>
  <c r="J53" i="126"/>
  <c r="F53" i="126"/>
  <c r="J52" i="126"/>
  <c r="F52" i="126"/>
  <c r="J51" i="126"/>
  <c r="F51" i="126"/>
  <c r="J50" i="126"/>
  <c r="F50" i="126"/>
  <c r="J49" i="126"/>
  <c r="F49" i="126"/>
  <c r="J48" i="126"/>
  <c r="F48" i="126"/>
  <c r="J47" i="126"/>
  <c r="F47" i="126"/>
  <c r="M72" i="108"/>
  <c r="M73" i="108"/>
  <c r="M74" i="108"/>
  <c r="M75" i="108"/>
  <c r="M76" i="108"/>
  <c r="M77" i="108"/>
  <c r="M78" i="108"/>
  <c r="M79" i="108"/>
  <c r="M80" i="108"/>
  <c r="M71" i="108"/>
  <c r="M70" i="108"/>
  <c r="M65" i="108"/>
  <c r="I65" i="108"/>
  <c r="H65" i="108"/>
  <c r="E65" i="108"/>
  <c r="D65" i="108"/>
  <c r="J64" i="108"/>
  <c r="F64" i="108"/>
  <c r="J63" i="108"/>
  <c r="F63" i="108"/>
  <c r="J62" i="108"/>
  <c r="F62" i="108"/>
  <c r="J61" i="108"/>
  <c r="F61" i="108"/>
  <c r="J60" i="108"/>
  <c r="F60" i="108"/>
  <c r="J59" i="108"/>
  <c r="F59" i="108"/>
  <c r="J58" i="108"/>
  <c r="F58" i="108"/>
  <c r="J57" i="108"/>
  <c r="F57" i="108"/>
  <c r="J56" i="108"/>
  <c r="F56" i="108"/>
  <c r="J55" i="108"/>
  <c r="F55" i="108"/>
  <c r="J54" i="108"/>
  <c r="F54" i="108"/>
  <c r="J53" i="108"/>
  <c r="F53" i="108"/>
  <c r="J52" i="108"/>
  <c r="F52" i="108"/>
  <c r="J51" i="108"/>
  <c r="F51" i="108"/>
  <c r="J50" i="108"/>
  <c r="F50" i="108"/>
  <c r="J49" i="108"/>
  <c r="F49" i="108"/>
  <c r="J48" i="108"/>
  <c r="F48" i="108"/>
  <c r="J47" i="108"/>
  <c r="F47" i="108"/>
  <c r="P18" i="120"/>
  <c r="Z18" i="120"/>
  <c r="AF18" i="120"/>
  <c r="P19" i="120"/>
  <c r="Z19" i="120"/>
  <c r="AF19" i="120"/>
  <c r="I26" i="124" l="1"/>
  <c r="H25" i="124"/>
  <c r="H23" i="124"/>
  <c r="H24" i="124"/>
  <c r="K23" i="122"/>
  <c r="J29" i="122" s="1"/>
  <c r="J31" i="122" l="1"/>
  <c r="K30" i="122"/>
  <c r="K29" i="122"/>
  <c r="K31" i="122"/>
  <c r="J30" i="122"/>
  <c r="K32" i="122" l="1"/>
  <c r="J32" i="122"/>
  <c r="N18" i="137" l="1"/>
  <c r="N18" i="136"/>
  <c r="N23" i="136"/>
  <c r="A16" i="138" l="1"/>
  <c r="C37" i="128" l="1"/>
  <c r="C24" i="128"/>
  <c r="L18" i="137" l="1"/>
  <c r="L23" i="136"/>
  <c r="L18" i="136"/>
  <c r="G23" i="124"/>
  <c r="G24" i="124"/>
  <c r="G25" i="124"/>
  <c r="I23" i="122"/>
  <c r="B19" i="130"/>
  <c r="P21" i="120"/>
  <c r="Z21" i="120"/>
  <c r="AF21" i="120"/>
  <c r="I29" i="122" l="1"/>
  <c r="I31" i="122"/>
  <c r="I30" i="122"/>
  <c r="H23" i="122"/>
  <c r="G23" i="122"/>
  <c r="F23" i="122"/>
  <c r="H30" i="122" l="1"/>
  <c r="H31" i="122"/>
  <c r="H29" i="122"/>
  <c r="G29" i="122"/>
  <c r="G30" i="122"/>
  <c r="G31" i="122"/>
  <c r="F29" i="122"/>
  <c r="F30" i="122"/>
  <c r="F31" i="122"/>
  <c r="D13" i="85"/>
  <c r="A6" i="138" l="1"/>
  <c r="J18" i="137" l="1"/>
  <c r="J23" i="136" l="1"/>
  <c r="J18" i="136"/>
  <c r="F25" i="124"/>
  <c r="E25" i="124"/>
  <c r="F24" i="124"/>
  <c r="E24" i="124"/>
  <c r="F23" i="124"/>
  <c r="E23" i="124"/>
  <c r="I25" i="123"/>
  <c r="H25" i="123"/>
  <c r="G25" i="123"/>
  <c r="F25" i="123"/>
  <c r="E25" i="123"/>
  <c r="F24" i="123"/>
  <c r="E24" i="123"/>
  <c r="F23" i="123"/>
  <c r="E23" i="123"/>
  <c r="N21" i="138" l="1"/>
  <c r="N19" i="138"/>
  <c r="N18" i="138"/>
  <c r="E29" i="122" l="1"/>
  <c r="E30" i="122"/>
  <c r="O27" i="119" l="1"/>
  <c r="G18" i="117" l="1"/>
  <c r="G18" i="118"/>
  <c r="G49" i="119"/>
  <c r="G48" i="119"/>
  <c r="G47" i="119"/>
  <c r="D20" i="124"/>
  <c r="D19" i="124"/>
  <c r="D18" i="124"/>
  <c r="D18" i="123"/>
  <c r="D25" i="122"/>
  <c r="D24" i="122"/>
  <c r="D19" i="123"/>
  <c r="A33" i="138"/>
  <c r="AD21" i="138"/>
  <c r="X21" i="138"/>
  <c r="D21" i="124" s="1"/>
  <c r="D26" i="122"/>
  <c r="AD19" i="138"/>
  <c r="X19" i="138"/>
  <c r="AD18" i="138"/>
  <c r="X18" i="138"/>
  <c r="AD16" i="138"/>
  <c r="X16" i="138"/>
  <c r="N16" i="138"/>
  <c r="D27" i="122" l="1"/>
  <c r="D21" i="123"/>
  <c r="D20" i="123"/>
  <c r="H23" i="136" l="1"/>
  <c r="H18" i="136"/>
  <c r="U27" i="119" l="1"/>
  <c r="K27" i="119"/>
  <c r="U24" i="119"/>
  <c r="A26" i="134"/>
  <c r="K24" i="119" l="1"/>
  <c r="P16" i="120" l="1"/>
  <c r="A6" i="134" l="1"/>
  <c r="D22" i="124" l="1"/>
  <c r="H18" i="137" l="1"/>
  <c r="H20" i="137" s="1"/>
  <c r="F18" i="137"/>
  <c r="F20" i="137" s="1"/>
  <c r="L20" i="137"/>
  <c r="J20" i="137"/>
  <c r="R20" i="137"/>
  <c r="B11" i="137"/>
  <c r="D11" i="137" s="1"/>
  <c r="F11" i="137" s="1"/>
  <c r="H11" i="137" s="1"/>
  <c r="J11" i="137" s="1"/>
  <c r="L11" i="137" s="1"/>
  <c r="N11" i="137" s="1"/>
  <c r="P11" i="137" s="1"/>
  <c r="R11" i="137" s="1"/>
  <c r="T11" i="137" s="1"/>
  <c r="F23" i="136"/>
  <c r="F18" i="136"/>
  <c r="T20" i="137"/>
  <c r="P20" i="137"/>
  <c r="N20" i="137"/>
  <c r="B20" i="137"/>
  <c r="D18" i="137"/>
  <c r="D20" i="137" s="1"/>
  <c r="T15" i="137"/>
  <c r="T16" i="137" s="1"/>
  <c r="R15" i="137"/>
  <c r="R16" i="137" s="1"/>
  <c r="P15" i="137"/>
  <c r="P16" i="137" s="1"/>
  <c r="N15" i="137"/>
  <c r="N16" i="137" s="1"/>
  <c r="L15" i="137"/>
  <c r="L16" i="137" s="1"/>
  <c r="J15" i="137"/>
  <c r="J16" i="137" s="1"/>
  <c r="H15" i="137"/>
  <c r="H16" i="137" s="1"/>
  <c r="F15" i="137"/>
  <c r="F16" i="137" s="1"/>
  <c r="D15" i="137"/>
  <c r="D16" i="137" s="1"/>
  <c r="B15" i="137"/>
  <c r="B16" i="137" s="1"/>
  <c r="D23" i="136"/>
  <c r="D18" i="136"/>
  <c r="D11" i="136"/>
  <c r="F11" i="136" s="1"/>
  <c r="H11" i="136" s="1"/>
  <c r="J11" i="136" s="1"/>
  <c r="L11" i="136" s="1"/>
  <c r="N11" i="136" s="1"/>
  <c r="P11" i="136" s="1"/>
  <c r="R11" i="136" s="1"/>
  <c r="T11" i="136" s="1"/>
  <c r="E5" i="135"/>
  <c r="G5" i="135" s="1"/>
  <c r="E13" i="133"/>
  <c r="A27" i="134"/>
  <c r="A28" i="134" s="1"/>
  <c r="A29" i="134" s="1"/>
  <c r="A30" i="134" s="1"/>
  <c r="A7" i="134"/>
  <c r="A8" i="134" s="1"/>
  <c r="A9" i="134" s="1"/>
  <c r="A10" i="134" s="1"/>
  <c r="H6" i="126"/>
  <c r="M69" i="126" s="1"/>
  <c r="D6" i="126"/>
  <c r="H6" i="125"/>
  <c r="M50" i="125" s="1"/>
  <c r="D6" i="125"/>
  <c r="C4" i="124"/>
  <c r="I21" i="85"/>
  <c r="C5" i="135" l="1"/>
  <c r="A33" i="120" l="1"/>
  <c r="D25" i="130"/>
  <c r="B20" i="130"/>
  <c r="B21" i="130" s="1"/>
  <c r="B22" i="130" s="1"/>
  <c r="B23" i="130" s="1"/>
  <c r="L59" i="129"/>
  <c r="J59" i="129"/>
  <c r="H59" i="129"/>
  <c r="L52" i="129"/>
  <c r="H52" i="129"/>
  <c r="J37" i="129"/>
  <c r="L33" i="129"/>
  <c r="J33" i="129"/>
  <c r="H33" i="129"/>
  <c r="L32" i="129"/>
  <c r="J32" i="129"/>
  <c r="H32" i="129"/>
  <c r="H17" i="129"/>
  <c r="L20" i="129"/>
  <c r="H20" i="129"/>
  <c r="L19" i="129"/>
  <c r="H19" i="129"/>
  <c r="L18" i="129"/>
  <c r="H18" i="129"/>
  <c r="L17" i="129"/>
  <c r="C18" i="124"/>
  <c r="C18" i="123"/>
  <c r="C24" i="122"/>
  <c r="M86" i="126"/>
  <c r="M67" i="125"/>
  <c r="E31" i="122"/>
  <c r="E32" i="122" s="1"/>
  <c r="O35" i="122" s="1"/>
  <c r="P35" i="122" s="1"/>
  <c r="Q35" i="122" s="1"/>
  <c r="C25" i="122"/>
  <c r="H26" i="124"/>
  <c r="O62" i="124" s="1"/>
  <c r="G26" i="124"/>
  <c r="O51" i="124" s="1"/>
  <c r="P51" i="124" s="1"/>
  <c r="F26" i="124"/>
  <c r="O40" i="124" s="1"/>
  <c r="P40" i="124" s="1"/>
  <c r="Q40" i="124" s="1"/>
  <c r="O41" i="124" s="1"/>
  <c r="E26" i="124"/>
  <c r="O29" i="124" s="1"/>
  <c r="P29" i="124" s="1"/>
  <c r="Q29" i="124" s="1"/>
  <c r="P30" i="124" s="1"/>
  <c r="C22" i="124"/>
  <c r="C19" i="124"/>
  <c r="C14" i="124"/>
  <c r="N7" i="124"/>
  <c r="N8" i="124" s="1"/>
  <c r="A71" i="124" s="1"/>
  <c r="C4" i="123"/>
  <c r="C14" i="123" s="1"/>
  <c r="E14" i="123" s="1"/>
  <c r="I26" i="123"/>
  <c r="M73" i="123" s="1"/>
  <c r="N73" i="123" s="1"/>
  <c r="O73" i="123" s="1"/>
  <c r="H26" i="123"/>
  <c r="M62" i="123" s="1"/>
  <c r="N62" i="123" s="1"/>
  <c r="O62" i="123" s="1"/>
  <c r="G26" i="123"/>
  <c r="M51" i="123" s="1"/>
  <c r="N51" i="123" s="1"/>
  <c r="F26" i="123"/>
  <c r="M40" i="123" s="1"/>
  <c r="E26" i="123"/>
  <c r="M29" i="123" s="1"/>
  <c r="N29" i="123" s="1"/>
  <c r="O29" i="123" s="1"/>
  <c r="Q29" i="123" s="1"/>
  <c r="C22" i="123"/>
  <c r="C19" i="123"/>
  <c r="N13" i="122"/>
  <c r="N24" i="122" s="1"/>
  <c r="F16" i="85"/>
  <c r="F15" i="85"/>
  <c r="I39" i="128"/>
  <c r="I26" i="128"/>
  <c r="I15" i="128"/>
  <c r="D25" i="85"/>
  <c r="M89" i="108"/>
  <c r="M86" i="108"/>
  <c r="M69" i="108"/>
  <c r="I69" i="108"/>
  <c r="I69" i="126"/>
  <c r="E69" i="126"/>
  <c r="M89" i="126"/>
  <c r="J45" i="126"/>
  <c r="F45" i="126"/>
  <c r="J44" i="126"/>
  <c r="F44" i="126"/>
  <c r="J43" i="126"/>
  <c r="F43" i="126"/>
  <c r="J42" i="126"/>
  <c r="F42" i="126"/>
  <c r="J41" i="126"/>
  <c r="F41" i="126"/>
  <c r="J40" i="126"/>
  <c r="F40" i="126"/>
  <c r="J39" i="126"/>
  <c r="F39" i="126"/>
  <c r="J38" i="126"/>
  <c r="F38" i="126"/>
  <c r="J37" i="126"/>
  <c r="F37" i="126"/>
  <c r="J36" i="126"/>
  <c r="F36" i="126"/>
  <c r="J35" i="126"/>
  <c r="F35" i="126"/>
  <c r="J34" i="126"/>
  <c r="F34" i="126"/>
  <c r="J33" i="126"/>
  <c r="F33" i="126"/>
  <c r="J32" i="126"/>
  <c r="F32" i="126"/>
  <c r="J31" i="126"/>
  <c r="F31" i="126"/>
  <c r="J30" i="126"/>
  <c r="F30" i="126"/>
  <c r="J29" i="126"/>
  <c r="F29" i="126"/>
  <c r="J28" i="126"/>
  <c r="F28" i="126"/>
  <c r="J26" i="126"/>
  <c r="I80" i="126" s="1"/>
  <c r="F26" i="126"/>
  <c r="J25" i="126"/>
  <c r="I79" i="126" s="1"/>
  <c r="F25" i="126"/>
  <c r="J24" i="126"/>
  <c r="I78" i="126" s="1"/>
  <c r="F24" i="126"/>
  <c r="J23" i="126"/>
  <c r="I77" i="126" s="1"/>
  <c r="F23" i="126"/>
  <c r="J22" i="126"/>
  <c r="I76" i="126" s="1"/>
  <c r="F22" i="126"/>
  <c r="J21" i="126"/>
  <c r="I75" i="126" s="1"/>
  <c r="F21" i="126"/>
  <c r="J20" i="126"/>
  <c r="I74" i="126" s="1"/>
  <c r="F20" i="126"/>
  <c r="J19" i="126"/>
  <c r="I73" i="126" s="1"/>
  <c r="F19" i="126"/>
  <c r="J18" i="126"/>
  <c r="I72" i="126" s="1"/>
  <c r="F18" i="126"/>
  <c r="J17" i="126"/>
  <c r="I71" i="126" s="1"/>
  <c r="F17" i="126"/>
  <c r="J16" i="126"/>
  <c r="F16" i="126"/>
  <c r="J15" i="126"/>
  <c r="F15" i="126"/>
  <c r="J14" i="126"/>
  <c r="F14" i="126"/>
  <c r="J13" i="126"/>
  <c r="F13" i="126"/>
  <c r="J12" i="126"/>
  <c r="F12" i="126"/>
  <c r="J11" i="126"/>
  <c r="F11" i="126"/>
  <c r="J10" i="126"/>
  <c r="F10" i="126"/>
  <c r="J9" i="126"/>
  <c r="F9" i="126"/>
  <c r="M6" i="126"/>
  <c r="M61" i="125"/>
  <c r="F54" i="85" s="1"/>
  <c r="M60" i="125"/>
  <c r="F53" i="85" s="1"/>
  <c r="M59" i="125"/>
  <c r="F52" i="85" s="1"/>
  <c r="M58" i="125"/>
  <c r="M57" i="125"/>
  <c r="M56" i="125"/>
  <c r="M55" i="125"/>
  <c r="M54" i="125"/>
  <c r="M53" i="125"/>
  <c r="F46" i="85" s="1"/>
  <c r="M52" i="125"/>
  <c r="F45" i="85" s="1"/>
  <c r="M51" i="125"/>
  <c r="I50" i="125"/>
  <c r="E50" i="125"/>
  <c r="M46" i="125"/>
  <c r="M69" i="125" s="1"/>
  <c r="M70" i="125" s="1"/>
  <c r="I46" i="125"/>
  <c r="H46" i="125"/>
  <c r="E46" i="125"/>
  <c r="D46" i="125"/>
  <c r="J45" i="125"/>
  <c r="F45" i="125"/>
  <c r="J44" i="125"/>
  <c r="F44" i="125"/>
  <c r="J43" i="125"/>
  <c r="F43" i="125"/>
  <c r="J42" i="125"/>
  <c r="F42" i="125"/>
  <c r="J41" i="125"/>
  <c r="F41" i="125"/>
  <c r="J40" i="125"/>
  <c r="F40" i="125"/>
  <c r="J39" i="125"/>
  <c r="F39" i="125"/>
  <c r="J38" i="125"/>
  <c r="F38" i="125"/>
  <c r="J37" i="125"/>
  <c r="F37" i="125"/>
  <c r="J36" i="125"/>
  <c r="F36" i="125"/>
  <c r="J35" i="125"/>
  <c r="F35" i="125"/>
  <c r="J34" i="125"/>
  <c r="F34" i="125"/>
  <c r="J33" i="125"/>
  <c r="F33" i="125"/>
  <c r="J32" i="125"/>
  <c r="F32" i="125"/>
  <c r="J31" i="125"/>
  <c r="F31" i="125"/>
  <c r="J30" i="125"/>
  <c r="F30" i="125"/>
  <c r="J29" i="125"/>
  <c r="F29" i="125"/>
  <c r="J28" i="125"/>
  <c r="F28" i="125"/>
  <c r="J26" i="125"/>
  <c r="F26" i="125"/>
  <c r="E61" i="125" s="1"/>
  <c r="J25" i="125"/>
  <c r="F25" i="125"/>
  <c r="E60" i="125" s="1"/>
  <c r="J24" i="125"/>
  <c r="F24" i="125"/>
  <c r="E59" i="125" s="1"/>
  <c r="J23" i="125"/>
  <c r="F23" i="125"/>
  <c r="J22" i="125"/>
  <c r="F22" i="125"/>
  <c r="J21" i="125"/>
  <c r="F21" i="125"/>
  <c r="J20" i="125"/>
  <c r="F20" i="125"/>
  <c r="J19" i="125"/>
  <c r="F19" i="125"/>
  <c r="J18" i="125"/>
  <c r="F18" i="125"/>
  <c r="E53" i="125" s="1"/>
  <c r="J17" i="125"/>
  <c r="F17" i="125"/>
  <c r="J16" i="125"/>
  <c r="F16" i="125"/>
  <c r="J15" i="125"/>
  <c r="F15" i="125"/>
  <c r="J14" i="125"/>
  <c r="F14" i="125"/>
  <c r="J13" i="125"/>
  <c r="F13" i="125"/>
  <c r="J12" i="125"/>
  <c r="F12" i="125"/>
  <c r="J11" i="125"/>
  <c r="F11" i="125"/>
  <c r="J10" i="125"/>
  <c r="F10" i="125"/>
  <c r="J9" i="125"/>
  <c r="F9" i="125"/>
  <c r="M6" i="125"/>
  <c r="M6" i="108"/>
  <c r="F51" i="85"/>
  <c r="F50" i="85"/>
  <c r="F48" i="85"/>
  <c r="F47" i="85"/>
  <c r="E69" i="108"/>
  <c r="I47" i="119"/>
  <c r="K47" i="119" s="1"/>
  <c r="J36" i="129"/>
  <c r="J38" i="129" s="1"/>
  <c r="I12" i="119"/>
  <c r="L23" i="129" s="1"/>
  <c r="C28" i="122"/>
  <c r="C20" i="122"/>
  <c r="F32" i="122"/>
  <c r="O46" i="122" s="1"/>
  <c r="G32" i="122"/>
  <c r="H32" i="122"/>
  <c r="O68" i="122" s="1"/>
  <c r="G20" i="118"/>
  <c r="I48" i="119" s="1"/>
  <c r="K48" i="119" s="1"/>
  <c r="G20" i="117"/>
  <c r="G10" i="118"/>
  <c r="G12" i="118" s="1"/>
  <c r="I13" i="119" s="1"/>
  <c r="Q29" i="119" s="1"/>
  <c r="G10" i="117"/>
  <c r="G12" i="117" s="1"/>
  <c r="G13" i="119"/>
  <c r="G12" i="119"/>
  <c r="AA27" i="119"/>
  <c r="Y27" i="119"/>
  <c r="S27" i="119"/>
  <c r="I27" i="119"/>
  <c r="M27" i="119" s="1"/>
  <c r="C27" i="119"/>
  <c r="I24" i="119"/>
  <c r="M24" i="119" s="1"/>
  <c r="AA24" i="119"/>
  <c r="Y24" i="119"/>
  <c r="S24" i="119"/>
  <c r="Q24" i="119"/>
  <c r="O24" i="119"/>
  <c r="C24" i="119"/>
  <c r="C27" i="122"/>
  <c r="C26" i="122"/>
  <c r="L25" i="129"/>
  <c r="AF16" i="120"/>
  <c r="J45" i="108"/>
  <c r="F45" i="108"/>
  <c r="J44" i="108"/>
  <c r="F44" i="108"/>
  <c r="J43" i="108"/>
  <c r="F43" i="108"/>
  <c r="J42" i="108"/>
  <c r="F42" i="108"/>
  <c r="J41" i="108"/>
  <c r="F41" i="108"/>
  <c r="J40" i="108"/>
  <c r="F40" i="108"/>
  <c r="J39" i="108"/>
  <c r="F39" i="108"/>
  <c r="J38" i="108"/>
  <c r="F38" i="108"/>
  <c r="J37" i="108"/>
  <c r="F37" i="108"/>
  <c r="J36" i="108"/>
  <c r="F36" i="108"/>
  <c r="J35" i="108"/>
  <c r="F35" i="108"/>
  <c r="J34" i="108"/>
  <c r="F34" i="108"/>
  <c r="J33" i="108"/>
  <c r="F33" i="108"/>
  <c r="J32" i="108"/>
  <c r="F32" i="108"/>
  <c r="J31" i="108"/>
  <c r="F31" i="108"/>
  <c r="J30" i="108"/>
  <c r="F30" i="108"/>
  <c r="J29" i="108"/>
  <c r="F29" i="108"/>
  <c r="J28" i="108"/>
  <c r="F28" i="108"/>
  <c r="J26" i="108"/>
  <c r="F26" i="108"/>
  <c r="J25" i="108"/>
  <c r="F25" i="108"/>
  <c r="J24" i="108"/>
  <c r="F24" i="108"/>
  <c r="J23" i="108"/>
  <c r="F23" i="108"/>
  <c r="J22" i="108"/>
  <c r="F22" i="108"/>
  <c r="J21" i="108"/>
  <c r="F21" i="108"/>
  <c r="J20" i="108"/>
  <c r="F20" i="108"/>
  <c r="J19" i="108"/>
  <c r="I73" i="108" s="1"/>
  <c r="F19" i="108"/>
  <c r="J18" i="108"/>
  <c r="F18" i="108"/>
  <c r="E72" i="108" s="1"/>
  <c r="J17" i="108"/>
  <c r="F17" i="108"/>
  <c r="J16" i="108"/>
  <c r="F16" i="108"/>
  <c r="J15" i="108"/>
  <c r="F15" i="108"/>
  <c r="J14" i="108"/>
  <c r="F14" i="108"/>
  <c r="J13" i="108"/>
  <c r="F13" i="108"/>
  <c r="J12" i="108"/>
  <c r="F12" i="108"/>
  <c r="J11" i="108"/>
  <c r="F11" i="108"/>
  <c r="J10" i="108"/>
  <c r="F10" i="108"/>
  <c r="J9" i="108"/>
  <c r="F9" i="108"/>
  <c r="O73" i="124"/>
  <c r="P73" i="124" s="1"/>
  <c r="Q73" i="124" s="1"/>
  <c r="I76" i="108" l="1"/>
  <c r="E79" i="126"/>
  <c r="E75" i="126"/>
  <c r="E71" i="126"/>
  <c r="I14" i="124"/>
  <c r="J14" i="124"/>
  <c r="L14" i="124"/>
  <c r="K14" i="124"/>
  <c r="I20" i="122"/>
  <c r="I8" i="122" s="1"/>
  <c r="J20" i="122"/>
  <c r="J8" i="122" s="1"/>
  <c r="K20" i="122"/>
  <c r="K8" i="122" s="1"/>
  <c r="I80" i="108"/>
  <c r="F37" i="85" s="1"/>
  <c r="J65" i="126"/>
  <c r="I77" i="108"/>
  <c r="I72" i="108"/>
  <c r="F29" i="85" s="1"/>
  <c r="E70" i="126"/>
  <c r="F65" i="126"/>
  <c r="E72" i="126"/>
  <c r="E76" i="126"/>
  <c r="E80" i="126"/>
  <c r="E79" i="108"/>
  <c r="E80" i="108"/>
  <c r="E76" i="108"/>
  <c r="O57" i="122"/>
  <c r="P57" i="122" s="1"/>
  <c r="Q57" i="122" s="1"/>
  <c r="I71" i="108"/>
  <c r="I75" i="108"/>
  <c r="F32" i="85" s="1"/>
  <c r="E75" i="108"/>
  <c r="E71" i="108"/>
  <c r="F65" i="108"/>
  <c r="E70" i="108"/>
  <c r="J65" i="108"/>
  <c r="D26" i="85" s="1"/>
  <c r="I70" i="108"/>
  <c r="I79" i="108"/>
  <c r="I70" i="126"/>
  <c r="A53" i="124"/>
  <c r="A37" i="124"/>
  <c r="E77" i="108"/>
  <c r="I55" i="125"/>
  <c r="I59" i="125"/>
  <c r="E73" i="126"/>
  <c r="E77" i="126"/>
  <c r="E74" i="108"/>
  <c r="E78" i="108"/>
  <c r="I52" i="125"/>
  <c r="I56" i="125"/>
  <c r="I60" i="125"/>
  <c r="E74" i="126"/>
  <c r="E78" i="126"/>
  <c r="E73" i="108"/>
  <c r="I74" i="108"/>
  <c r="F31" i="85" s="1"/>
  <c r="I78" i="108"/>
  <c r="F35" i="85" s="1"/>
  <c r="C17" i="124"/>
  <c r="E29" i="119"/>
  <c r="E31" i="119" s="1"/>
  <c r="I32" i="122"/>
  <c r="O79" i="122" s="1"/>
  <c r="P79" i="122" s="1"/>
  <c r="K12" i="119"/>
  <c r="K13" i="119"/>
  <c r="N18" i="124"/>
  <c r="N29" i="124" s="1"/>
  <c r="N30" i="124" s="1"/>
  <c r="N31" i="124" s="1"/>
  <c r="N32" i="124" s="1"/>
  <c r="N33" i="124" s="1"/>
  <c r="N34" i="124" s="1"/>
  <c r="N35" i="124" s="1"/>
  <c r="F28" i="85"/>
  <c r="I53" i="125"/>
  <c r="I57" i="125"/>
  <c r="I61" i="125"/>
  <c r="E58" i="125"/>
  <c r="I54" i="125"/>
  <c r="I58" i="125"/>
  <c r="I49" i="119"/>
  <c r="K49" i="119" s="1"/>
  <c r="Q31" i="119"/>
  <c r="E8" i="133" s="1"/>
  <c r="O29" i="119"/>
  <c r="O31" i="119" s="1"/>
  <c r="E9" i="133" s="1"/>
  <c r="E56" i="125"/>
  <c r="E57" i="125"/>
  <c r="F36" i="85"/>
  <c r="F49" i="85"/>
  <c r="E51" i="125"/>
  <c r="W24" i="119"/>
  <c r="K29" i="119"/>
  <c r="K31" i="119" s="1"/>
  <c r="U29" i="119"/>
  <c r="U31" i="119" s="1"/>
  <c r="W27" i="119"/>
  <c r="J24" i="130"/>
  <c r="G29" i="119"/>
  <c r="H34" i="129"/>
  <c r="L36" i="129"/>
  <c r="C20" i="123"/>
  <c r="D17" i="123"/>
  <c r="D25" i="123" s="1"/>
  <c r="AC27" i="119"/>
  <c r="AC24" i="119"/>
  <c r="C20" i="124"/>
  <c r="P62" i="124"/>
  <c r="Q62" i="124" s="1"/>
  <c r="Q73" i="123"/>
  <c r="R73" i="123"/>
  <c r="N74" i="123"/>
  <c r="M74" i="123"/>
  <c r="N30" i="123"/>
  <c r="R29" i="123"/>
  <c r="A47" i="124"/>
  <c r="S35" i="122"/>
  <c r="T35" i="122"/>
  <c r="D14" i="124"/>
  <c r="E14" i="124"/>
  <c r="H14" i="124"/>
  <c r="A52" i="124" s="1"/>
  <c r="F14" i="124"/>
  <c r="A50" i="124" s="1"/>
  <c r="G14" i="124"/>
  <c r="A35" i="124" s="1"/>
  <c r="I14" i="123"/>
  <c r="A53" i="123" s="1"/>
  <c r="A31" i="124"/>
  <c r="F20" i="122"/>
  <c r="G20" i="122"/>
  <c r="A31" i="123"/>
  <c r="H20" i="122"/>
  <c r="E20" i="122"/>
  <c r="A55" i="122" s="1"/>
  <c r="A37" i="122"/>
  <c r="F14" i="123"/>
  <c r="A47" i="123"/>
  <c r="N35" i="122"/>
  <c r="N25" i="122"/>
  <c r="N26" i="122" s="1"/>
  <c r="N27" i="122" s="1"/>
  <c r="N28" i="122" s="1"/>
  <c r="N29" i="122" s="1"/>
  <c r="N30" i="122" s="1"/>
  <c r="D14" i="123"/>
  <c r="H14" i="123"/>
  <c r="L7" i="123"/>
  <c r="G14" i="123"/>
  <c r="A53" i="122"/>
  <c r="D20" i="122"/>
  <c r="N14" i="122"/>
  <c r="A77" i="122" s="1"/>
  <c r="M30" i="123"/>
  <c r="O36" i="122"/>
  <c r="J22" i="130"/>
  <c r="J21" i="130"/>
  <c r="H21" i="129"/>
  <c r="J23" i="130"/>
  <c r="L21" i="129"/>
  <c r="L24" i="129" s="1"/>
  <c r="L51" i="129" s="1"/>
  <c r="L53" i="129" s="1"/>
  <c r="H25" i="129"/>
  <c r="I49" i="128"/>
  <c r="O30" i="124"/>
  <c r="Q30" i="124" s="1"/>
  <c r="O31" i="124" s="1"/>
  <c r="T29" i="124"/>
  <c r="C17" i="123"/>
  <c r="L34" i="129"/>
  <c r="D17" i="124"/>
  <c r="D23" i="124" s="1"/>
  <c r="D23" i="122"/>
  <c r="D30" i="122" s="1"/>
  <c r="M81" i="126"/>
  <c r="M62" i="125"/>
  <c r="I51" i="125"/>
  <c r="E55" i="125"/>
  <c r="E52" i="125"/>
  <c r="E54" i="125"/>
  <c r="J34" i="129"/>
  <c r="J39" i="129" s="1"/>
  <c r="J58" i="129" s="1"/>
  <c r="J60" i="129" s="1"/>
  <c r="J61" i="129" s="1"/>
  <c r="J19" i="130"/>
  <c r="E19" i="128"/>
  <c r="E17" i="128" s="1"/>
  <c r="J20" i="130"/>
  <c r="Y29" i="119"/>
  <c r="Y31" i="119" s="1"/>
  <c r="C29" i="119"/>
  <c r="C31" i="119" s="1"/>
  <c r="P36" i="122"/>
  <c r="N63" i="123"/>
  <c r="Q62" i="123"/>
  <c r="R62" i="123"/>
  <c r="P74" i="124"/>
  <c r="S73" i="124"/>
  <c r="O74" i="124"/>
  <c r="T73" i="124"/>
  <c r="S29" i="124"/>
  <c r="M63" i="123"/>
  <c r="S40" i="124"/>
  <c r="P41" i="124"/>
  <c r="Q41" i="124" s="1"/>
  <c r="T40" i="124"/>
  <c r="A49" i="123"/>
  <c r="A33" i="123"/>
  <c r="J40" i="129"/>
  <c r="L40" i="129"/>
  <c r="H40" i="129"/>
  <c r="P68" i="122"/>
  <c r="Q68" i="122" s="1"/>
  <c r="P46" i="122"/>
  <c r="Q46" i="122" s="1"/>
  <c r="F44" i="85"/>
  <c r="M81" i="108"/>
  <c r="F46" i="125"/>
  <c r="J46" i="125"/>
  <c r="O51" i="123"/>
  <c r="N40" i="123"/>
  <c r="O40" i="123" s="1"/>
  <c r="Q51" i="124"/>
  <c r="N9" i="124"/>
  <c r="C21" i="124"/>
  <c r="C21" i="123"/>
  <c r="D14" i="85"/>
  <c r="F14" i="85"/>
  <c r="D127" i="85" l="1"/>
  <c r="C8" i="135"/>
  <c r="A43" i="122"/>
  <c r="A59" i="122"/>
  <c r="E34" i="119"/>
  <c r="C9" i="133"/>
  <c r="I62" i="125"/>
  <c r="E30" i="128" s="1"/>
  <c r="G31" i="119"/>
  <c r="C8" i="133" s="1"/>
  <c r="Q79" i="122"/>
  <c r="S79" i="122" s="1"/>
  <c r="N40" i="124"/>
  <c r="N41" i="124" s="1"/>
  <c r="N42" i="124" s="1"/>
  <c r="N43" i="124" s="1"/>
  <c r="N44" i="124" s="1"/>
  <c r="N45" i="124" s="1"/>
  <c r="N46" i="124" s="1"/>
  <c r="F30" i="85"/>
  <c r="D128" i="85"/>
  <c r="P80" i="122"/>
  <c r="A41" i="122"/>
  <c r="G8" i="122"/>
  <c r="A56" i="122"/>
  <c r="F8" i="122"/>
  <c r="A39" i="122"/>
  <c r="E8" i="122"/>
  <c r="A42" i="122"/>
  <c r="H8" i="122"/>
  <c r="N19" i="124"/>
  <c r="N20" i="124" s="1"/>
  <c r="N21" i="124" s="1"/>
  <c r="N22" i="124" s="1"/>
  <c r="N23" i="124" s="1"/>
  <c r="N24" i="124" s="1"/>
  <c r="F33" i="85"/>
  <c r="F34" i="85"/>
  <c r="F27" i="85"/>
  <c r="E81" i="126"/>
  <c r="F70" i="126" s="1"/>
  <c r="J54" i="125"/>
  <c r="J56" i="125"/>
  <c r="J58" i="125"/>
  <c r="J61" i="125"/>
  <c r="J62" i="125"/>
  <c r="J52" i="125"/>
  <c r="J51" i="125"/>
  <c r="J57" i="125"/>
  <c r="J60" i="125"/>
  <c r="J53" i="125"/>
  <c r="J59" i="125"/>
  <c r="J55" i="125"/>
  <c r="C12" i="133"/>
  <c r="D43" i="85"/>
  <c r="O30" i="123"/>
  <c r="M31" i="123" s="1"/>
  <c r="S30" i="124"/>
  <c r="D24" i="123"/>
  <c r="D23" i="123"/>
  <c r="B13" i="136"/>
  <c r="G8" i="135"/>
  <c r="E8" i="135"/>
  <c r="C15" i="134"/>
  <c r="C13" i="133"/>
  <c r="A36" i="124"/>
  <c r="D25" i="124"/>
  <c r="T62" i="124"/>
  <c r="S62" i="124"/>
  <c r="P63" i="124"/>
  <c r="O63" i="124"/>
  <c r="Q74" i="124"/>
  <c r="O75" i="124" s="1"/>
  <c r="T30" i="124"/>
  <c r="P31" i="124"/>
  <c r="C33" i="124" s="1"/>
  <c r="O74" i="123"/>
  <c r="M75" i="123" s="1"/>
  <c r="N31" i="123"/>
  <c r="C33" i="123" s="1"/>
  <c r="A34" i="124"/>
  <c r="A51" i="124"/>
  <c r="A33" i="124"/>
  <c r="A49" i="124"/>
  <c r="A32" i="124"/>
  <c r="A48" i="124"/>
  <c r="A40" i="122"/>
  <c r="Q36" i="122"/>
  <c r="S36" i="122" s="1"/>
  <c r="A57" i="122"/>
  <c r="N15" i="122"/>
  <c r="A78" i="122" s="1"/>
  <c r="A58" i="122"/>
  <c r="A34" i="123"/>
  <c r="A50" i="123"/>
  <c r="A51" i="123"/>
  <c r="A35" i="123"/>
  <c r="A36" i="123"/>
  <c r="A52" i="123"/>
  <c r="A38" i="122"/>
  <c r="A54" i="122"/>
  <c r="L18" i="123"/>
  <c r="L8" i="123"/>
  <c r="A32" i="123"/>
  <c r="A48" i="123"/>
  <c r="N36" i="122"/>
  <c r="N37" i="122" s="1"/>
  <c r="N38" i="122" s="1"/>
  <c r="N39" i="122" s="1"/>
  <c r="N40" i="122" s="1"/>
  <c r="N41" i="122" s="1"/>
  <c r="N46" i="122"/>
  <c r="C24" i="123"/>
  <c r="E62" i="125"/>
  <c r="F59" i="125" s="1"/>
  <c r="E81" i="108"/>
  <c r="F73" i="108" s="1"/>
  <c r="D29" i="122"/>
  <c r="C23" i="124"/>
  <c r="D31" i="122"/>
  <c r="F23" i="130"/>
  <c r="E30" i="134" s="1"/>
  <c r="F22" i="130"/>
  <c r="E29" i="134" s="1"/>
  <c r="L37" i="129"/>
  <c r="L38" i="129" s="1"/>
  <c r="L39" i="129" s="1"/>
  <c r="L58" i="129" s="1"/>
  <c r="L60" i="129" s="1"/>
  <c r="L61" i="129" s="1"/>
  <c r="L26" i="129"/>
  <c r="C23" i="123"/>
  <c r="J41" i="129"/>
  <c r="J42" i="129" s="1"/>
  <c r="C25" i="123"/>
  <c r="C25" i="124"/>
  <c r="C24" i="124"/>
  <c r="D24" i="124"/>
  <c r="F21" i="130"/>
  <c r="E28" i="134" s="1"/>
  <c r="F20" i="130"/>
  <c r="E27" i="134" s="1"/>
  <c r="C23" i="122"/>
  <c r="C29" i="122" s="1"/>
  <c r="F24" i="130"/>
  <c r="E31" i="134" s="1"/>
  <c r="H36" i="129"/>
  <c r="H23" i="129"/>
  <c r="H24" i="129" s="1"/>
  <c r="C34" i="119"/>
  <c r="F19" i="130"/>
  <c r="E26" i="134" s="1"/>
  <c r="I81" i="108"/>
  <c r="F109" i="85" s="1"/>
  <c r="J25" i="130"/>
  <c r="Y34" i="119"/>
  <c r="G19" i="128"/>
  <c r="G17" i="128" s="1"/>
  <c r="I81" i="126"/>
  <c r="T57" i="122"/>
  <c r="P58" i="122"/>
  <c r="S57" i="122"/>
  <c r="O58" i="122"/>
  <c r="O52" i="124"/>
  <c r="P52" i="124"/>
  <c r="T51" i="124"/>
  <c r="S51" i="124"/>
  <c r="Q51" i="123"/>
  <c r="N52" i="123"/>
  <c r="R51" i="123"/>
  <c r="M52" i="123"/>
  <c r="R40" i="123"/>
  <c r="N41" i="123"/>
  <c r="Q40" i="123"/>
  <c r="M41" i="123"/>
  <c r="P47" i="122"/>
  <c r="O47" i="122"/>
  <c r="T46" i="122"/>
  <c r="S46" i="122"/>
  <c r="P42" i="124"/>
  <c r="O42" i="124"/>
  <c r="T41" i="124"/>
  <c r="S41" i="124"/>
  <c r="S68" i="122"/>
  <c r="O69" i="122"/>
  <c r="P69" i="122"/>
  <c r="T68" i="122"/>
  <c r="A72" i="124"/>
  <c r="N10" i="124"/>
  <c r="O63" i="123"/>
  <c r="I22" i="85"/>
  <c r="I23" i="85" s="1"/>
  <c r="D129" i="85" l="1"/>
  <c r="T79" i="122"/>
  <c r="O80" i="122"/>
  <c r="Q80" i="122" s="1"/>
  <c r="T80" i="122" s="1"/>
  <c r="N51" i="124"/>
  <c r="N52" i="124" s="1"/>
  <c r="N53" i="124" s="1"/>
  <c r="N54" i="124" s="1"/>
  <c r="N55" i="124" s="1"/>
  <c r="N56" i="124" s="1"/>
  <c r="N57" i="124" s="1"/>
  <c r="F78" i="126"/>
  <c r="F38" i="85"/>
  <c r="D38" i="85"/>
  <c r="S74" i="124"/>
  <c r="R30" i="123"/>
  <c r="K34" i="119"/>
  <c r="N16" i="122"/>
  <c r="A79" i="122" s="1"/>
  <c r="Q30" i="123"/>
  <c r="F79" i="126"/>
  <c r="F73" i="126"/>
  <c r="F71" i="126"/>
  <c r="F72" i="126"/>
  <c r="F81" i="126"/>
  <c r="F77" i="126"/>
  <c r="F75" i="126"/>
  <c r="F76" i="126"/>
  <c r="F74" i="126"/>
  <c r="F80" i="126"/>
  <c r="F54" i="125"/>
  <c r="H67" i="85" s="1"/>
  <c r="F58" i="125"/>
  <c r="F55" i="125"/>
  <c r="F56" i="125"/>
  <c r="F62" i="125"/>
  <c r="F57" i="125"/>
  <c r="D55" i="85"/>
  <c r="F55" i="85"/>
  <c r="U34" i="119"/>
  <c r="E12" i="133"/>
  <c r="F51" i="125"/>
  <c r="F52" i="125"/>
  <c r="F61" i="125"/>
  <c r="F60" i="125"/>
  <c r="F53" i="125"/>
  <c r="T36" i="122"/>
  <c r="J72" i="108"/>
  <c r="J80" i="108"/>
  <c r="C30" i="128"/>
  <c r="G34" i="119"/>
  <c r="J76" i="108"/>
  <c r="J74" i="108"/>
  <c r="J81" i="108"/>
  <c r="J73" i="108"/>
  <c r="J78" i="108"/>
  <c r="O31" i="123"/>
  <c r="M32" i="123" s="1"/>
  <c r="Q74" i="123"/>
  <c r="O34" i="119"/>
  <c r="D26" i="123"/>
  <c r="M18" i="123" s="1"/>
  <c r="N18" i="123" s="1"/>
  <c r="O18" i="123" s="1"/>
  <c r="M19" i="123" s="1"/>
  <c r="E32" i="134"/>
  <c r="C19" i="128"/>
  <c r="C17" i="128" s="1"/>
  <c r="B15" i="136"/>
  <c r="P37" i="122"/>
  <c r="C39" i="122" s="1"/>
  <c r="Q47" i="122"/>
  <c r="S47" i="122" s="1"/>
  <c r="T74" i="124"/>
  <c r="D26" i="124"/>
  <c r="O18" i="124" s="1"/>
  <c r="P18" i="124" s="1"/>
  <c r="Q18" i="124" s="1"/>
  <c r="P75" i="124"/>
  <c r="Q75" i="124" s="1"/>
  <c r="Q31" i="124"/>
  <c r="O32" i="124" s="1"/>
  <c r="Q63" i="124"/>
  <c r="O64" i="124" s="1"/>
  <c r="C26" i="124"/>
  <c r="O7" i="124" s="1"/>
  <c r="P7" i="124" s="1"/>
  <c r="C31" i="124" s="1"/>
  <c r="N75" i="123"/>
  <c r="O75" i="123" s="1"/>
  <c r="R74" i="123"/>
  <c r="O41" i="123"/>
  <c r="Q41" i="123" s="1"/>
  <c r="O52" i="123"/>
  <c r="N53" i="123" s="1"/>
  <c r="N32" i="123"/>
  <c r="O37" i="122"/>
  <c r="Q58" i="122"/>
  <c r="T58" i="122" s="1"/>
  <c r="Q69" i="122"/>
  <c r="P70" i="122" s="1"/>
  <c r="N57" i="122"/>
  <c r="N47" i="122"/>
  <c r="N48" i="122" s="1"/>
  <c r="N49" i="122" s="1"/>
  <c r="N50" i="122" s="1"/>
  <c r="N51" i="122" s="1"/>
  <c r="N52" i="122" s="1"/>
  <c r="A71" i="123"/>
  <c r="L9" i="123"/>
  <c r="L29" i="123"/>
  <c r="L19" i="123"/>
  <c r="L20" i="123" s="1"/>
  <c r="L21" i="123" s="1"/>
  <c r="L22" i="123" s="1"/>
  <c r="L23" i="123" s="1"/>
  <c r="L24" i="123" s="1"/>
  <c r="D32" i="122"/>
  <c r="O24" i="122" s="1"/>
  <c r="P24" i="122" s="1"/>
  <c r="Q24" i="122" s="1"/>
  <c r="T24" i="122" s="1"/>
  <c r="F72" i="108"/>
  <c r="H85" i="85" s="1"/>
  <c r="F77" i="108"/>
  <c r="H90" i="85" s="1"/>
  <c r="F75" i="108"/>
  <c r="F70" i="108"/>
  <c r="H83" i="85" s="1"/>
  <c r="F80" i="108"/>
  <c r="F78" i="108"/>
  <c r="H72" i="85" s="1"/>
  <c r="F79" i="108"/>
  <c r="H92" i="85" s="1"/>
  <c r="F76" i="108"/>
  <c r="F74" i="108"/>
  <c r="H68" i="85" s="1"/>
  <c r="F71" i="108"/>
  <c r="H65" i="85" s="1"/>
  <c r="F81" i="108"/>
  <c r="C26" i="123"/>
  <c r="M7" i="123" s="1"/>
  <c r="N7" i="123" s="1"/>
  <c r="C31" i="123" s="1"/>
  <c r="L41" i="129"/>
  <c r="L42" i="129" s="1"/>
  <c r="C30" i="122"/>
  <c r="Q34" i="119"/>
  <c r="F25" i="130"/>
  <c r="C31" i="122"/>
  <c r="H37" i="129"/>
  <c r="H38" i="129" s="1"/>
  <c r="H39" i="129" s="1"/>
  <c r="H51" i="129"/>
  <c r="H53" i="129" s="1"/>
  <c r="H26" i="129"/>
  <c r="J77" i="108"/>
  <c r="J79" i="108"/>
  <c r="J75" i="108"/>
  <c r="J70" i="108"/>
  <c r="J71" i="108"/>
  <c r="A73" i="124"/>
  <c r="N11" i="124"/>
  <c r="J78" i="126"/>
  <c r="J74" i="126"/>
  <c r="J70" i="126"/>
  <c r="J81" i="126"/>
  <c r="J77" i="126"/>
  <c r="J73" i="126"/>
  <c r="J80" i="126"/>
  <c r="J76" i="126"/>
  <c r="J72" i="126"/>
  <c r="J75" i="126"/>
  <c r="J71" i="126"/>
  <c r="J79" i="126"/>
  <c r="G30" i="128"/>
  <c r="M64" i="123"/>
  <c r="Q63" i="123"/>
  <c r="N64" i="123"/>
  <c r="R63" i="123"/>
  <c r="Q42" i="124"/>
  <c r="Q52" i="124"/>
  <c r="N17" i="122"/>
  <c r="Q52" i="123"/>
  <c r="P32" i="124"/>
  <c r="O32" i="123" l="1"/>
  <c r="O81" i="122"/>
  <c r="P81" i="122"/>
  <c r="S80" i="122"/>
  <c r="N62" i="124"/>
  <c r="H76" i="85"/>
  <c r="F76" i="85" s="1"/>
  <c r="I17" i="128"/>
  <c r="I19" i="128" s="1"/>
  <c r="C32" i="122"/>
  <c r="O13" i="122" s="1"/>
  <c r="P13" i="122" s="1"/>
  <c r="C37" i="122" s="1"/>
  <c r="S69" i="122"/>
  <c r="O59" i="122"/>
  <c r="O48" i="122"/>
  <c r="F110" i="85"/>
  <c r="P64" i="124"/>
  <c r="Q64" i="124" s="1"/>
  <c r="P65" i="124" s="1"/>
  <c r="H89" i="85"/>
  <c r="H93" i="85"/>
  <c r="H86" i="85"/>
  <c r="H69" i="85"/>
  <c r="S58" i="122"/>
  <c r="P59" i="122"/>
  <c r="M53" i="123"/>
  <c r="O53" i="123" s="1"/>
  <c r="T31" i="124"/>
  <c r="D49" i="124" s="1"/>
  <c r="M42" i="123"/>
  <c r="R41" i="123"/>
  <c r="R31" i="123"/>
  <c r="D49" i="123" s="1"/>
  <c r="F111" i="85"/>
  <c r="N42" i="123"/>
  <c r="Q31" i="123"/>
  <c r="C49" i="123" s="1"/>
  <c r="P48" i="122"/>
  <c r="T47" i="122"/>
  <c r="S31" i="124"/>
  <c r="C49" i="124" s="1"/>
  <c r="N19" i="123"/>
  <c r="C32" i="123" s="1"/>
  <c r="R18" i="123"/>
  <c r="Q37" i="122"/>
  <c r="O38" i="122" s="1"/>
  <c r="Q18" i="123"/>
  <c r="S63" i="124"/>
  <c r="M33" i="123"/>
  <c r="R32" i="123"/>
  <c r="N33" i="123"/>
  <c r="Q32" i="123"/>
  <c r="R52" i="123"/>
  <c r="B23" i="136"/>
  <c r="S24" i="122"/>
  <c r="T75" i="124"/>
  <c r="S75" i="124"/>
  <c r="O76" i="124"/>
  <c r="P76" i="124"/>
  <c r="T63" i="124"/>
  <c r="Q7" i="124"/>
  <c r="O8" i="124" s="1"/>
  <c r="Q32" i="124"/>
  <c r="O33" i="124" s="1"/>
  <c r="R75" i="123"/>
  <c r="M76" i="123"/>
  <c r="N76" i="123"/>
  <c r="Q75" i="123"/>
  <c r="O42" i="123"/>
  <c r="Q42" i="123" s="1"/>
  <c r="P25" i="122"/>
  <c r="C38" i="122" s="1"/>
  <c r="O25" i="122"/>
  <c r="O70" i="122"/>
  <c r="Q70" i="122" s="1"/>
  <c r="T69" i="122"/>
  <c r="A72" i="123"/>
  <c r="L10" i="123"/>
  <c r="L40" i="123"/>
  <c r="L30" i="123"/>
  <c r="L31" i="123" s="1"/>
  <c r="L32" i="123" s="1"/>
  <c r="L33" i="123" s="1"/>
  <c r="L34" i="123" s="1"/>
  <c r="L35" i="123" s="1"/>
  <c r="N68" i="122"/>
  <c r="N58" i="122"/>
  <c r="N59" i="122" s="1"/>
  <c r="N60" i="122" s="1"/>
  <c r="N61" i="122" s="1"/>
  <c r="N62" i="122" s="1"/>
  <c r="N63" i="122" s="1"/>
  <c r="O7" i="123"/>
  <c r="R7" i="123" s="1"/>
  <c r="D47" i="123" s="1"/>
  <c r="H71" i="85"/>
  <c r="H66" i="85"/>
  <c r="H64" i="85"/>
  <c r="H70" i="85"/>
  <c r="H88" i="85"/>
  <c r="H74" i="85"/>
  <c r="H87" i="85"/>
  <c r="H73" i="85"/>
  <c r="H84" i="85"/>
  <c r="H91" i="85"/>
  <c r="H58" i="129"/>
  <c r="H60" i="129" s="1"/>
  <c r="H61" i="129" s="1"/>
  <c r="H41" i="129"/>
  <c r="H42" i="129" s="1"/>
  <c r="A80" i="122"/>
  <c r="N18" i="122"/>
  <c r="N12" i="124"/>
  <c r="A74" i="124"/>
  <c r="I30" i="128"/>
  <c r="O19" i="124"/>
  <c r="P19" i="124"/>
  <c r="C32" i="124" s="1"/>
  <c r="T18" i="124"/>
  <c r="S18" i="124"/>
  <c r="O43" i="124"/>
  <c r="P43" i="124"/>
  <c r="C34" i="124" s="1"/>
  <c r="S42" i="124"/>
  <c r="T42" i="124"/>
  <c r="S52" i="124"/>
  <c r="O53" i="124"/>
  <c r="P53" i="124"/>
  <c r="T52" i="124"/>
  <c r="O64" i="123"/>
  <c r="Q81" i="122" l="1"/>
  <c r="P82" i="122" s="1"/>
  <c r="N63" i="124"/>
  <c r="N64" i="124" s="1"/>
  <c r="N65" i="124" s="1"/>
  <c r="N66" i="124" s="1"/>
  <c r="N67" i="124" s="1"/>
  <c r="N68" i="124" s="1"/>
  <c r="N73" i="124"/>
  <c r="Q76" i="124"/>
  <c r="O77" i="124" s="1"/>
  <c r="Q59" i="122"/>
  <c r="P60" i="122" s="1"/>
  <c r="D76" i="85"/>
  <c r="Q48" i="122"/>
  <c r="O49" i="122" s="1"/>
  <c r="P33" i="124"/>
  <c r="Q33" i="124" s="1"/>
  <c r="O34" i="124" s="1"/>
  <c r="F112" i="85"/>
  <c r="E49" i="124"/>
  <c r="P8" i="124"/>
  <c r="Q8" i="124" s="1"/>
  <c r="T8" i="124" s="1"/>
  <c r="S64" i="124"/>
  <c r="R42" i="123"/>
  <c r="S32" i="124"/>
  <c r="O33" i="123"/>
  <c r="R33" i="123" s="1"/>
  <c r="O65" i="124"/>
  <c r="Q65" i="124" s="1"/>
  <c r="P66" i="124" s="1"/>
  <c r="T64" i="124"/>
  <c r="M43" i="123"/>
  <c r="N43" i="123"/>
  <c r="C34" i="123" s="1"/>
  <c r="E49" i="123"/>
  <c r="S37" i="122"/>
  <c r="C55" i="122" s="1"/>
  <c r="O19" i="123"/>
  <c r="R19" i="123" s="1"/>
  <c r="D48" i="123" s="1"/>
  <c r="T32" i="124"/>
  <c r="T37" i="122"/>
  <c r="D55" i="122" s="1"/>
  <c r="P38" i="122"/>
  <c r="Q38" i="122" s="1"/>
  <c r="T7" i="124"/>
  <c r="D47" i="124" s="1"/>
  <c r="D8" i="132"/>
  <c r="B17" i="136"/>
  <c r="B18" i="136" s="1"/>
  <c r="Q25" i="122"/>
  <c r="T25" i="122" s="1"/>
  <c r="D54" i="122" s="1"/>
  <c r="S7" i="124"/>
  <c r="C47" i="124" s="1"/>
  <c r="O76" i="123"/>
  <c r="N8" i="123"/>
  <c r="M8" i="123"/>
  <c r="Q7" i="123"/>
  <c r="C47" i="123" s="1"/>
  <c r="E47" i="123" s="1"/>
  <c r="L41" i="123"/>
  <c r="L42" i="123" s="1"/>
  <c r="L43" i="123" s="1"/>
  <c r="L44" i="123" s="1"/>
  <c r="L45" i="123" s="1"/>
  <c r="L46" i="123" s="1"/>
  <c r="L51" i="123"/>
  <c r="A73" i="123"/>
  <c r="L11" i="123"/>
  <c r="N79" i="122"/>
  <c r="N69" i="122"/>
  <c r="N70" i="122" s="1"/>
  <c r="N71" i="122" s="1"/>
  <c r="N72" i="122" s="1"/>
  <c r="N73" i="122" s="1"/>
  <c r="N74" i="122" s="1"/>
  <c r="N20" i="123"/>
  <c r="Q13" i="122"/>
  <c r="O14" i="122" s="1"/>
  <c r="Q19" i="124"/>
  <c r="O20" i="124" s="1"/>
  <c r="D118" i="85"/>
  <c r="H82" i="85"/>
  <c r="D82" i="85" s="1"/>
  <c r="P71" i="122"/>
  <c r="T70" i="122"/>
  <c r="S70" i="122"/>
  <c r="O71" i="122"/>
  <c r="Q53" i="124"/>
  <c r="A75" i="124"/>
  <c r="N13" i="124"/>
  <c r="A81" i="122"/>
  <c r="N19" i="122"/>
  <c r="M65" i="123"/>
  <c r="N65" i="123"/>
  <c r="R64" i="123"/>
  <c r="Q64" i="123"/>
  <c r="N54" i="123"/>
  <c r="M54" i="123"/>
  <c r="R53" i="123"/>
  <c r="Q53" i="123"/>
  <c r="Q43" i="124"/>
  <c r="P49" i="122" l="1"/>
  <c r="C40" i="122" s="1"/>
  <c r="P26" i="122"/>
  <c r="N80" i="122"/>
  <c r="N81" i="122" s="1"/>
  <c r="N82" i="122" s="1"/>
  <c r="N83" i="122" s="1"/>
  <c r="N84" i="122" s="1"/>
  <c r="N85" i="122" s="1"/>
  <c r="T81" i="122"/>
  <c r="O82" i="122"/>
  <c r="Q82" i="122" s="1"/>
  <c r="T82" i="122" s="1"/>
  <c r="S81" i="122"/>
  <c r="N74" i="124"/>
  <c r="N75" i="124" s="1"/>
  <c r="N76" i="124" s="1"/>
  <c r="N77" i="124" s="1"/>
  <c r="N78" i="124" s="1"/>
  <c r="N79" i="124" s="1"/>
  <c r="S76" i="124"/>
  <c r="P77" i="124"/>
  <c r="Q77" i="124" s="1"/>
  <c r="O78" i="124" s="1"/>
  <c r="T76" i="124"/>
  <c r="S59" i="122"/>
  <c r="T59" i="122"/>
  <c r="O60" i="122"/>
  <c r="Q60" i="122" s="1"/>
  <c r="S60" i="122" s="1"/>
  <c r="D5" i="132"/>
  <c r="D9" i="132" s="1"/>
  <c r="S48" i="122"/>
  <c r="T48" i="122"/>
  <c r="M34" i="123"/>
  <c r="N34" i="123"/>
  <c r="O66" i="124"/>
  <c r="Q66" i="124" s="1"/>
  <c r="T66" i="124" s="1"/>
  <c r="N44" i="123"/>
  <c r="Q33" i="123"/>
  <c r="O43" i="123"/>
  <c r="E55" i="122"/>
  <c r="T65" i="124"/>
  <c r="S33" i="124"/>
  <c r="P9" i="124"/>
  <c r="M20" i="123"/>
  <c r="O20" i="123" s="1"/>
  <c r="Q19" i="123"/>
  <c r="C48" i="123" s="1"/>
  <c r="E48" i="123" s="1"/>
  <c r="O39" i="122"/>
  <c r="T38" i="122"/>
  <c r="P39" i="122"/>
  <c r="S38" i="122"/>
  <c r="O34" i="123"/>
  <c r="Q34" i="123" s="1"/>
  <c r="O26" i="122"/>
  <c r="O9" i="124"/>
  <c r="S8" i="124"/>
  <c r="E47" i="124"/>
  <c r="S25" i="122"/>
  <c r="C54" i="122" s="1"/>
  <c r="E54" i="122" s="1"/>
  <c r="O8" i="123"/>
  <c r="R8" i="123" s="1"/>
  <c r="T33" i="124"/>
  <c r="S65" i="124"/>
  <c r="P34" i="124"/>
  <c r="Q34" i="124" s="1"/>
  <c r="Q76" i="123"/>
  <c r="M77" i="123"/>
  <c r="N77" i="123"/>
  <c r="R76" i="123"/>
  <c r="O54" i="123"/>
  <c r="Q54" i="123" s="1"/>
  <c r="Q71" i="122"/>
  <c r="P72" i="122" s="1"/>
  <c r="A74" i="123"/>
  <c r="L12" i="123"/>
  <c r="L52" i="123"/>
  <c r="L53" i="123" s="1"/>
  <c r="L54" i="123" s="1"/>
  <c r="L55" i="123" s="1"/>
  <c r="L56" i="123" s="1"/>
  <c r="L57" i="123" s="1"/>
  <c r="L62" i="123"/>
  <c r="S19" i="124"/>
  <c r="C48" i="124" s="1"/>
  <c r="P14" i="122"/>
  <c r="Q14" i="122" s="1"/>
  <c r="P20" i="124"/>
  <c r="Q20" i="124" s="1"/>
  <c r="S13" i="122"/>
  <c r="C53" i="122" s="1"/>
  <c r="T13" i="122"/>
  <c r="D53" i="122" s="1"/>
  <c r="T19" i="124"/>
  <c r="D48" i="124" s="1"/>
  <c r="F82" i="85"/>
  <c r="O65" i="123"/>
  <c r="S53" i="124"/>
  <c r="P54" i="124"/>
  <c r="O54" i="124"/>
  <c r="T53" i="124"/>
  <c r="T43" i="124"/>
  <c r="D50" i="124" s="1"/>
  <c r="S43" i="124"/>
  <c r="C50" i="124" s="1"/>
  <c r="O44" i="124"/>
  <c r="P44" i="124"/>
  <c r="P83" i="122" l="1"/>
  <c r="P61" i="122"/>
  <c r="C41" i="122" s="1"/>
  <c r="Q49" i="122"/>
  <c r="S49" i="122" s="1"/>
  <c r="C56" i="122" s="1"/>
  <c r="Q26" i="122"/>
  <c r="S26" i="122" s="1"/>
  <c r="O83" i="122"/>
  <c r="S82" i="122"/>
  <c r="T77" i="124"/>
  <c r="T60" i="122"/>
  <c r="O61" i="122"/>
  <c r="S77" i="124"/>
  <c r="P78" i="124"/>
  <c r="Q78" i="124" s="1"/>
  <c r="T78" i="124" s="1"/>
  <c r="P67" i="124"/>
  <c r="C36" i="124" s="1"/>
  <c r="M35" i="123"/>
  <c r="R43" i="123"/>
  <c r="D50" i="123" s="1"/>
  <c r="M44" i="123"/>
  <c r="O44" i="123" s="1"/>
  <c r="Q44" i="123" s="1"/>
  <c r="Q43" i="123"/>
  <c r="C50" i="123" s="1"/>
  <c r="S71" i="122"/>
  <c r="R54" i="123"/>
  <c r="S66" i="124"/>
  <c r="N55" i="123"/>
  <c r="C35" i="123" s="1"/>
  <c r="M55" i="123"/>
  <c r="N35" i="123"/>
  <c r="O35" i="123" s="1"/>
  <c r="R35" i="123" s="1"/>
  <c r="R34" i="123"/>
  <c r="Q9" i="124"/>
  <c r="S9" i="124" s="1"/>
  <c r="M9" i="123"/>
  <c r="N9" i="123"/>
  <c r="E50" i="124"/>
  <c r="Q39" i="122"/>
  <c r="O67" i="124"/>
  <c r="Q54" i="124"/>
  <c r="O55" i="124" s="1"/>
  <c r="E48" i="124"/>
  <c r="Q8" i="123"/>
  <c r="O77" i="123"/>
  <c r="T71" i="122"/>
  <c r="P50" i="122"/>
  <c r="O72" i="122"/>
  <c r="Q72" i="122" s="1"/>
  <c r="T72" i="122" s="1"/>
  <c r="L63" i="123"/>
  <c r="L64" i="123" s="1"/>
  <c r="L65" i="123" s="1"/>
  <c r="L66" i="123" s="1"/>
  <c r="L67" i="123" s="1"/>
  <c r="L68" i="123" s="1"/>
  <c r="L73" i="123"/>
  <c r="L74" i="123" s="1"/>
  <c r="L75" i="123" s="1"/>
  <c r="L76" i="123" s="1"/>
  <c r="L77" i="123" s="1"/>
  <c r="L78" i="123" s="1"/>
  <c r="L79" i="123" s="1"/>
  <c r="A75" i="123"/>
  <c r="L13" i="123"/>
  <c r="P15" i="122"/>
  <c r="O15" i="122"/>
  <c r="T14" i="122"/>
  <c r="S14" i="122"/>
  <c r="T20" i="124"/>
  <c r="S20" i="124"/>
  <c r="P21" i="124"/>
  <c r="E53" i="122"/>
  <c r="Q20" i="123"/>
  <c r="N21" i="123"/>
  <c r="R20" i="123"/>
  <c r="M21" i="123"/>
  <c r="O21" i="124"/>
  <c r="F88" i="85"/>
  <c r="F91" i="85"/>
  <c r="F83" i="85"/>
  <c r="F84" i="85"/>
  <c r="F86" i="85"/>
  <c r="F85" i="85"/>
  <c r="F92" i="85"/>
  <c r="F93" i="85"/>
  <c r="F87" i="85"/>
  <c r="F89" i="85"/>
  <c r="F90" i="85"/>
  <c r="D89" i="85"/>
  <c r="D93" i="85"/>
  <c r="D88" i="85"/>
  <c r="D91" i="85"/>
  <c r="D83" i="85"/>
  <c r="D87" i="85"/>
  <c r="D90" i="85"/>
  <c r="D86" i="85"/>
  <c r="D84" i="85"/>
  <c r="D92" i="85"/>
  <c r="D85" i="85"/>
  <c r="Q44" i="124"/>
  <c r="N66" i="123"/>
  <c r="M66" i="123"/>
  <c r="R65" i="123"/>
  <c r="Q65" i="123"/>
  <c r="O35" i="124"/>
  <c r="P35" i="124"/>
  <c r="T34" i="124"/>
  <c r="S34" i="124"/>
  <c r="E50" i="123" l="1"/>
  <c r="Q83" i="122"/>
  <c r="T83" i="122" s="1"/>
  <c r="Q61" i="122"/>
  <c r="S61" i="122" s="1"/>
  <c r="C57" i="122" s="1"/>
  <c r="P27" i="122"/>
  <c r="T26" i="122"/>
  <c r="O27" i="122"/>
  <c r="T49" i="122"/>
  <c r="D56" i="122" s="1"/>
  <c r="E56" i="122" s="1"/>
  <c r="O50" i="122"/>
  <c r="Q50" i="122" s="1"/>
  <c r="S50" i="122" s="1"/>
  <c r="Q67" i="124"/>
  <c r="S67" i="124" s="1"/>
  <c r="C52" i="124" s="1"/>
  <c r="S54" i="124"/>
  <c r="S72" i="122"/>
  <c r="P62" i="122"/>
  <c r="R44" i="123"/>
  <c r="O55" i="123"/>
  <c r="R55" i="123" s="1"/>
  <c r="D51" i="123" s="1"/>
  <c r="P10" i="124"/>
  <c r="O79" i="124"/>
  <c r="M45" i="123"/>
  <c r="N45" i="123"/>
  <c r="T54" i="124"/>
  <c r="O10" i="124"/>
  <c r="T9" i="124"/>
  <c r="O9" i="123"/>
  <c r="N10" i="123" s="1"/>
  <c r="Q35" i="123"/>
  <c r="O40" i="122"/>
  <c r="T39" i="122"/>
  <c r="P40" i="122"/>
  <c r="S39" i="122"/>
  <c r="P55" i="124"/>
  <c r="C35" i="124" s="1"/>
  <c r="S78" i="124"/>
  <c r="Q55" i="123"/>
  <c r="C51" i="123" s="1"/>
  <c r="E51" i="123" s="1"/>
  <c r="O73" i="122"/>
  <c r="P73" i="122"/>
  <c r="C42" i="122" s="1"/>
  <c r="P79" i="124"/>
  <c r="C37" i="124" s="1"/>
  <c r="M78" i="123"/>
  <c r="Q77" i="123"/>
  <c r="R77" i="123"/>
  <c r="N78" i="123"/>
  <c r="O66" i="123"/>
  <c r="N67" i="123" s="1"/>
  <c r="C36" i="123" s="1"/>
  <c r="M56" i="123"/>
  <c r="Q21" i="124"/>
  <c r="S21" i="124" s="1"/>
  <c r="Q15" i="122"/>
  <c r="T15" i="122" s="1"/>
  <c r="Q35" i="124"/>
  <c r="T35" i="124" s="1"/>
  <c r="O21" i="123"/>
  <c r="F94" i="85"/>
  <c r="D94" i="85"/>
  <c r="S44" i="124"/>
  <c r="O45" i="124"/>
  <c r="T44" i="124"/>
  <c r="P45" i="124"/>
  <c r="O62" i="122" l="1"/>
  <c r="N56" i="123"/>
  <c r="O84" i="122"/>
  <c r="T61" i="122"/>
  <c r="D57" i="122" s="1"/>
  <c r="E57" i="122" s="1"/>
  <c r="P84" i="122"/>
  <c r="S83" i="122"/>
  <c r="Q27" i="122"/>
  <c r="P28" i="122" s="1"/>
  <c r="T67" i="124"/>
  <c r="D52" i="124" s="1"/>
  <c r="E52" i="124" s="1"/>
  <c r="P68" i="124"/>
  <c r="O68" i="124"/>
  <c r="Q62" i="122"/>
  <c r="T62" i="122" s="1"/>
  <c r="Q10" i="124"/>
  <c r="S10" i="124" s="1"/>
  <c r="Q79" i="124"/>
  <c r="S79" i="124" s="1"/>
  <c r="C53" i="124" s="1"/>
  <c r="M67" i="123"/>
  <c r="O45" i="123"/>
  <c r="Q66" i="123"/>
  <c r="Q9" i="123"/>
  <c r="C38" i="124"/>
  <c r="AA29" i="119" s="1"/>
  <c r="AC29" i="119" s="1"/>
  <c r="AC31" i="119" s="1"/>
  <c r="Q55" i="124"/>
  <c r="P56" i="124" s="1"/>
  <c r="Q73" i="122"/>
  <c r="P74" i="122" s="1"/>
  <c r="C77" i="122" s="1"/>
  <c r="T50" i="122"/>
  <c r="M10" i="123"/>
  <c r="O10" i="123" s="1"/>
  <c r="M11" i="123" s="1"/>
  <c r="R9" i="123"/>
  <c r="Q40" i="122"/>
  <c r="R66" i="123"/>
  <c r="O56" i="123"/>
  <c r="M57" i="123" s="1"/>
  <c r="O51" i="122"/>
  <c r="P51" i="122"/>
  <c r="P22" i="124"/>
  <c r="O78" i="123"/>
  <c r="O67" i="123"/>
  <c r="Q67" i="123" s="1"/>
  <c r="C52" i="123" s="1"/>
  <c r="S15" i="122"/>
  <c r="O16" i="122"/>
  <c r="T21" i="124"/>
  <c r="O22" i="124"/>
  <c r="S35" i="124"/>
  <c r="P16" i="122"/>
  <c r="R21" i="123"/>
  <c r="M22" i="123"/>
  <c r="Q21" i="123"/>
  <c r="N22" i="123"/>
  <c r="F114" i="85"/>
  <c r="Q45" i="124"/>
  <c r="P11" i="124" l="1"/>
  <c r="Q84" i="122"/>
  <c r="S84" i="122" s="1"/>
  <c r="O28" i="122"/>
  <c r="Q28" i="122" s="1"/>
  <c r="S28" i="122" s="1"/>
  <c r="S27" i="122"/>
  <c r="T27" i="122"/>
  <c r="Q68" i="124"/>
  <c r="T68" i="124" s="1"/>
  <c r="C71" i="124"/>
  <c r="T79" i="124"/>
  <c r="D53" i="124" s="1"/>
  <c r="E53" i="124" s="1"/>
  <c r="S62" i="122"/>
  <c r="P63" i="122"/>
  <c r="C78" i="122" s="1"/>
  <c r="T10" i="124"/>
  <c r="O11" i="124"/>
  <c r="S73" i="122"/>
  <c r="C58" i="122" s="1"/>
  <c r="C60" i="122" s="1"/>
  <c r="I31" i="119" s="1"/>
  <c r="M31" i="119" s="1"/>
  <c r="O63" i="122"/>
  <c r="T73" i="122"/>
  <c r="D58" i="122" s="1"/>
  <c r="D60" i="122" s="1"/>
  <c r="S31" i="119" s="1"/>
  <c r="W31" i="119" s="1"/>
  <c r="S55" i="124"/>
  <c r="C51" i="124" s="1"/>
  <c r="C54" i="124" s="1"/>
  <c r="I29" i="119" s="1"/>
  <c r="M29" i="119" s="1"/>
  <c r="R67" i="123"/>
  <c r="D52" i="123" s="1"/>
  <c r="D54" i="123" s="1"/>
  <c r="E43" i="128" s="1"/>
  <c r="E41" i="128" s="1"/>
  <c r="O74" i="122"/>
  <c r="Q74" i="122" s="1"/>
  <c r="T74" i="122" s="1"/>
  <c r="Q56" i="123"/>
  <c r="N57" i="123"/>
  <c r="C72" i="123" s="1"/>
  <c r="M68" i="123"/>
  <c r="N11" i="123"/>
  <c r="O11" i="123" s="1"/>
  <c r="N12" i="123" s="1"/>
  <c r="O56" i="124"/>
  <c r="Q56" i="124" s="1"/>
  <c r="O57" i="124" s="1"/>
  <c r="T55" i="124"/>
  <c r="D51" i="124" s="1"/>
  <c r="D54" i="124" s="1"/>
  <c r="S29" i="119" s="1"/>
  <c r="W29" i="119" s="1"/>
  <c r="G43" i="128" s="1"/>
  <c r="G41" i="128" s="1"/>
  <c r="M46" i="123"/>
  <c r="Q45" i="123"/>
  <c r="R45" i="123"/>
  <c r="N46" i="123"/>
  <c r="C73" i="123" s="1"/>
  <c r="Q51" i="122"/>
  <c r="T51" i="122" s="1"/>
  <c r="R56" i="123"/>
  <c r="N68" i="123"/>
  <c r="C71" i="123" s="1"/>
  <c r="C26" i="134" s="1"/>
  <c r="G26" i="134" s="1"/>
  <c r="C6" i="134" s="1"/>
  <c r="Q10" i="123"/>
  <c r="R10" i="123"/>
  <c r="S40" i="122"/>
  <c r="P41" i="122"/>
  <c r="T40" i="122"/>
  <c r="O41" i="122"/>
  <c r="Q22" i="124"/>
  <c r="T22" i="124" s="1"/>
  <c r="N79" i="123"/>
  <c r="C37" i="123" s="1"/>
  <c r="C38" i="123" s="1"/>
  <c r="H63" i="85" s="1"/>
  <c r="M79" i="123"/>
  <c r="Q78" i="123"/>
  <c r="R78" i="123"/>
  <c r="Q16" i="122"/>
  <c r="T16" i="122" s="1"/>
  <c r="O22" i="123"/>
  <c r="Q22" i="123" s="1"/>
  <c r="O57" i="123"/>
  <c r="S45" i="124"/>
  <c r="O46" i="124"/>
  <c r="P46" i="124"/>
  <c r="C73" i="124" s="1"/>
  <c r="T45" i="124"/>
  <c r="E52" i="123"/>
  <c r="C54" i="123"/>
  <c r="Q11" i="124" l="1"/>
  <c r="P85" i="122"/>
  <c r="O85" i="122"/>
  <c r="T84" i="122"/>
  <c r="O29" i="122"/>
  <c r="C43" i="122"/>
  <c r="C44" i="122" s="1"/>
  <c r="AA31" i="119" s="1"/>
  <c r="AA34" i="119" s="1"/>
  <c r="P29" i="122"/>
  <c r="T28" i="122"/>
  <c r="S68" i="124"/>
  <c r="S34" i="119"/>
  <c r="I34" i="119"/>
  <c r="C43" i="128"/>
  <c r="C41" i="128" s="1"/>
  <c r="Q63" i="122"/>
  <c r="T63" i="122" s="1"/>
  <c r="E51" i="124"/>
  <c r="E54" i="124" s="1"/>
  <c r="E58" i="122"/>
  <c r="O68" i="123"/>
  <c r="R68" i="123" s="1"/>
  <c r="E11" i="133"/>
  <c r="P52" i="122"/>
  <c r="C79" i="122" s="1"/>
  <c r="C28" i="134" s="1"/>
  <c r="G28" i="134" s="1"/>
  <c r="C8" i="134" s="1"/>
  <c r="P17" i="122"/>
  <c r="O52" i="122"/>
  <c r="S51" i="122"/>
  <c r="O46" i="123"/>
  <c r="T56" i="124"/>
  <c r="O79" i="123"/>
  <c r="R79" i="123" s="1"/>
  <c r="D53" i="123" s="1"/>
  <c r="E32" i="128"/>
  <c r="E28" i="128" s="1"/>
  <c r="C11" i="133"/>
  <c r="Q11" i="123"/>
  <c r="R11" i="123"/>
  <c r="M12" i="123"/>
  <c r="O12" i="123" s="1"/>
  <c r="M13" i="123" s="1"/>
  <c r="Q41" i="122"/>
  <c r="P57" i="124"/>
  <c r="C72" i="124" s="1"/>
  <c r="C27" i="134" s="1"/>
  <c r="G27" i="134" s="1"/>
  <c r="C7" i="134" s="1"/>
  <c r="AC34" i="119"/>
  <c r="S16" i="122"/>
  <c r="O17" i="122"/>
  <c r="O23" i="124"/>
  <c r="D117" i="85"/>
  <c r="F119" i="85" s="1"/>
  <c r="S56" i="124"/>
  <c r="P23" i="124"/>
  <c r="C74" i="124" s="1"/>
  <c r="S22" i="124"/>
  <c r="S74" i="122"/>
  <c r="R22" i="123"/>
  <c r="M23" i="123"/>
  <c r="N23" i="123"/>
  <c r="C74" i="123" s="1"/>
  <c r="F65" i="85"/>
  <c r="F67" i="85"/>
  <c r="D70" i="85"/>
  <c r="F72" i="85"/>
  <c r="F71" i="85"/>
  <c r="F64" i="85"/>
  <c r="D73" i="85"/>
  <c r="F73" i="85"/>
  <c r="D66" i="85"/>
  <c r="D65" i="85"/>
  <c r="D72" i="85"/>
  <c r="D74" i="85"/>
  <c r="D68" i="85"/>
  <c r="F68" i="85"/>
  <c r="D71" i="85"/>
  <c r="F69" i="85"/>
  <c r="F66" i="85"/>
  <c r="F74" i="85"/>
  <c r="D69" i="85"/>
  <c r="F70" i="85"/>
  <c r="D67" i="85"/>
  <c r="D64" i="85"/>
  <c r="Q57" i="123"/>
  <c r="R57" i="123"/>
  <c r="P12" i="124"/>
  <c r="S11" i="124"/>
  <c r="T11" i="124"/>
  <c r="O12" i="124"/>
  <c r="Q46" i="124"/>
  <c r="Q85" i="122" l="1"/>
  <c r="S85" i="122" s="1"/>
  <c r="C59" i="122" s="1"/>
  <c r="Q79" i="123"/>
  <c r="C53" i="123" s="1"/>
  <c r="Q68" i="123"/>
  <c r="Q29" i="122"/>
  <c r="O30" i="122" s="1"/>
  <c r="C80" i="122"/>
  <c r="C29" i="134" s="1"/>
  <c r="G29" i="134" s="1"/>
  <c r="C9" i="134" s="1"/>
  <c r="T85" i="122"/>
  <c r="D59" i="122" s="1"/>
  <c r="E59" i="122" s="1"/>
  <c r="E60" i="122" s="1"/>
  <c r="E14" i="133"/>
  <c r="C14" i="133"/>
  <c r="F113" i="85"/>
  <c r="I41" i="128"/>
  <c r="I43" i="128" s="1"/>
  <c r="H75" i="85"/>
  <c r="D75" i="85" s="1"/>
  <c r="W34" i="119"/>
  <c r="M34" i="119"/>
  <c r="S63" i="122"/>
  <c r="D131" i="85"/>
  <c r="Q52" i="122"/>
  <c r="S52" i="122" s="1"/>
  <c r="Q17" i="122"/>
  <c r="T17" i="122" s="1"/>
  <c r="R46" i="123"/>
  <c r="Q46" i="123"/>
  <c r="Q57" i="124"/>
  <c r="T57" i="124" s="1"/>
  <c r="N13" i="123"/>
  <c r="C76" i="123" s="1"/>
  <c r="R12" i="123"/>
  <c r="Q12" i="123"/>
  <c r="C32" i="128"/>
  <c r="C28" i="128" s="1"/>
  <c r="S41" i="122"/>
  <c r="T41" i="122"/>
  <c r="Q23" i="124"/>
  <c r="P24" i="124" s="1"/>
  <c r="C75" i="124" s="1"/>
  <c r="E53" i="123"/>
  <c r="E54" i="123" s="1"/>
  <c r="O23" i="123"/>
  <c r="Q23" i="123" s="1"/>
  <c r="Q12" i="124"/>
  <c r="O13" i="124" s="1"/>
  <c r="G32" i="128"/>
  <c r="G28" i="128" s="1"/>
  <c r="S46" i="124"/>
  <c r="T46" i="124"/>
  <c r="S29" i="122" l="1"/>
  <c r="P30" i="122"/>
  <c r="Q30" i="122" s="1"/>
  <c r="T30" i="122" s="1"/>
  <c r="T29" i="122"/>
  <c r="I28" i="128"/>
  <c r="I32" i="128" s="1"/>
  <c r="I48" i="128" s="1"/>
  <c r="I50" i="128" s="1"/>
  <c r="F75" i="85"/>
  <c r="T52" i="122"/>
  <c r="S57" i="124"/>
  <c r="H62" i="85"/>
  <c r="D63" i="85" s="1"/>
  <c r="P18" i="122"/>
  <c r="O18" i="122"/>
  <c r="O13" i="123"/>
  <c r="Q13" i="123" s="1"/>
  <c r="S17" i="122"/>
  <c r="O24" i="124"/>
  <c r="Q24" i="124" s="1"/>
  <c r="T24" i="124" s="1"/>
  <c r="T23" i="124"/>
  <c r="S23" i="124"/>
  <c r="M24" i="123"/>
  <c r="R23" i="123"/>
  <c r="N24" i="123"/>
  <c r="C75" i="123" s="1"/>
  <c r="C77" i="123" s="1"/>
  <c r="C79" i="123" s="1"/>
  <c r="P13" i="124"/>
  <c r="C76" i="124" s="1"/>
  <c r="C77" i="124" s="1"/>
  <c r="C79" i="124" s="1"/>
  <c r="S12" i="124"/>
  <c r="T12" i="124"/>
  <c r="E17" i="133" l="1"/>
  <c r="C81" i="122"/>
  <c r="C30" i="134" s="1"/>
  <c r="G30" i="134" s="1"/>
  <c r="C10" i="134" s="1"/>
  <c r="R13" i="123"/>
  <c r="Q18" i="122"/>
  <c r="P19" i="122" s="1"/>
  <c r="C82" i="122" s="1"/>
  <c r="F63" i="85"/>
  <c r="S24" i="124"/>
  <c r="S30" i="122"/>
  <c r="O24" i="123"/>
  <c r="Q13" i="124"/>
  <c r="F115" i="85"/>
  <c r="F120" i="85" s="1"/>
  <c r="C17" i="133" l="1"/>
  <c r="C83" i="122"/>
  <c r="C85" i="122" s="1"/>
  <c r="F77" i="85"/>
  <c r="O19" i="122"/>
  <c r="Q19" i="122" s="1"/>
  <c r="S19" i="122" s="1"/>
  <c r="T18" i="122"/>
  <c r="C31" i="134"/>
  <c r="G31" i="134" s="1"/>
  <c r="C11" i="134" s="1"/>
  <c r="C12" i="134" s="1"/>
  <c r="S18" i="122"/>
  <c r="D77" i="85"/>
  <c r="R24" i="123"/>
  <c r="Q24" i="123"/>
  <c r="T13" i="124"/>
  <c r="S13" i="124"/>
  <c r="F101" i="85" l="1"/>
  <c r="D132" i="85"/>
  <c r="C32" i="134"/>
  <c r="G32" i="134"/>
  <c r="T19" i="122"/>
  <c r="H77" i="85"/>
  <c r="H78" i="85"/>
  <c r="D101" i="85"/>
  <c r="F103" i="85" l="1"/>
  <c r="H101" i="85"/>
  <c r="E18" i="133" l="1"/>
  <c r="C14" i="134" l="1"/>
  <c r="C16" i="134" s="1"/>
  <c r="C17" i="134" s="1"/>
  <c r="C18" i="13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D13" authorId="0" shapeId="0" xr:uid="{00000000-0006-0000-0000-000001000000}">
      <text>
        <r>
          <rPr>
            <b/>
            <sz val="9"/>
            <color indexed="81"/>
            <rFont val="Tahoma"/>
            <family val="2"/>
          </rPr>
          <t>User:</t>
        </r>
        <r>
          <rPr>
            <sz val="9"/>
            <color indexed="81"/>
            <rFont val="Tahoma"/>
            <family val="2"/>
          </rPr>
          <t xml:space="preserve">
This amount will come directly from the prior year audited financial statements.  Use the amount of "deferred outflows of resources related to pensions" from the balance sheet reconciliation schedule.  This amount should only be reported in the debit column of conversion entry U1 and as a positive amount.</t>
        </r>
      </text>
    </comment>
    <comment ref="F15" authorId="0" shapeId="0" xr:uid="{00000000-0006-0000-0000-000002000000}">
      <text>
        <r>
          <rPr>
            <b/>
            <sz val="9"/>
            <color indexed="81"/>
            <rFont val="Tahoma"/>
            <family val="2"/>
          </rPr>
          <t>User:</t>
        </r>
        <r>
          <rPr>
            <sz val="9"/>
            <color indexed="81"/>
            <rFont val="Tahoma"/>
            <family val="2"/>
          </rPr>
          <t xml:space="preserve">
This amount will come directly from the prior year audited financial statements.  Use the amount of "deferred inflows of resources related to pensions" from the balance sheet reconciliation schedule.  This amount should only be reported in the credit column of conversion entry U1 and as a positive amount.</t>
        </r>
      </text>
    </comment>
    <comment ref="F16" authorId="0" shapeId="0" xr:uid="{00000000-0006-0000-0000-000003000000}">
      <text>
        <r>
          <rPr>
            <b/>
            <sz val="9"/>
            <color indexed="81"/>
            <rFont val="Tahoma"/>
            <family val="2"/>
          </rPr>
          <t>User:</t>
        </r>
        <r>
          <rPr>
            <sz val="9"/>
            <color indexed="81"/>
            <rFont val="Tahoma"/>
            <family val="2"/>
          </rPr>
          <t xml:space="preserve">
This amount will come directly from the prior year audited financial statements.  Use the amount of "Net Pension Liability - Proportionate Share" from the balance sheet reconciliation schedule or from the district wide statement of net position.  This amount should only be reported in the credit column of conversion entry U1 and as a positive amount.</t>
        </r>
      </text>
    </comment>
    <comment ref="D25" authorId="0" shapeId="0" xr:uid="{00000000-0006-0000-0000-000004000000}">
      <text>
        <r>
          <rPr>
            <b/>
            <sz val="9"/>
            <color indexed="81"/>
            <rFont val="Tahoma"/>
            <family val="2"/>
          </rPr>
          <t>User:</t>
        </r>
        <r>
          <rPr>
            <sz val="9"/>
            <color indexed="81"/>
            <rFont val="Tahoma"/>
            <family val="2"/>
          </rPr>
          <t xml:space="preserve">
</t>
        </r>
        <r>
          <rPr>
            <sz val="11"/>
            <color indexed="81"/>
            <rFont val="Tahoma"/>
            <family val="2"/>
          </rPr>
          <t>This should be equal to the amount of Retirement Contributions paid by WVDE on behalf of the entity for current employees.  RESAs will have a zero in this field since RESAs have no state aid eligible employees.  This should be the total of revenue picked up by the entity in revenue source code 03911.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34" authorId="0" shapeId="0" xr:uid="{00000000-0006-0000-0E00-000001000000}">
      <text>
        <r>
          <rPr>
            <b/>
            <sz val="11"/>
            <color indexed="81"/>
            <rFont val="Tahoma"/>
            <family val="2"/>
          </rPr>
          <t>User:</t>
        </r>
        <r>
          <rPr>
            <sz val="11"/>
            <color indexed="81"/>
            <rFont val="Tahoma"/>
            <family val="2"/>
          </rPr>
          <t xml:space="preserve">
If an immaterial difference is noted in the cell, include a manual rounding adjustment within cell  C51 or D51 of the "Change in Proportion - LEA" tab in order to zero out this difference.  If the LEA had a deferred inflow for change in proportion in the prior year, key the adjustment into cell C51.  If the LEA had a deferred outflow for change in proportion in the prior year, key the rounding adjustment into cell D51.</t>
        </r>
      </text>
    </comment>
    <comment ref="AA34" authorId="0" shapeId="0" xr:uid="{00000000-0006-0000-0E00-000002000000}">
      <text>
        <r>
          <rPr>
            <b/>
            <sz val="11"/>
            <color indexed="81"/>
            <rFont val="Tahoma"/>
            <family val="2"/>
          </rPr>
          <t xml:space="preserve">User:
</t>
        </r>
        <r>
          <rPr>
            <sz val="11"/>
            <color indexed="81"/>
            <rFont val="Tahoma"/>
            <family val="2"/>
          </rPr>
          <t>If an immaterial difference is noted in the cell, include a manual rounding adjustment within cell  C34 of the "Change in Proportion - LEA" tab.</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B15" authorId="0" shapeId="0" xr:uid="{00000000-0006-0000-1600-000001000000}">
      <text>
        <r>
          <rPr>
            <b/>
            <sz val="9"/>
            <color indexed="81"/>
            <rFont val="Tahoma"/>
            <family val="2"/>
          </rPr>
          <t>User:</t>
        </r>
        <r>
          <rPr>
            <sz val="9"/>
            <color indexed="81"/>
            <rFont val="Tahoma"/>
            <family val="2"/>
          </rPr>
          <t xml:space="preserve">
Should be entered as a negative amount
</t>
        </r>
      </text>
    </comment>
    <comment ref="D15" authorId="0" shapeId="0" xr:uid="{00000000-0006-0000-1600-000002000000}">
      <text>
        <r>
          <rPr>
            <b/>
            <sz val="9"/>
            <color indexed="81"/>
            <rFont val="Tahoma"/>
            <family val="2"/>
          </rPr>
          <t>User:</t>
        </r>
        <r>
          <rPr>
            <sz val="9"/>
            <color indexed="81"/>
            <rFont val="Tahoma"/>
            <family val="2"/>
          </rPr>
          <t xml:space="preserve">
Should be entered as a negative amount</t>
        </r>
      </text>
    </comment>
    <comment ref="F15" authorId="0" shapeId="0" xr:uid="{00000000-0006-0000-1600-000003000000}">
      <text>
        <r>
          <rPr>
            <b/>
            <sz val="9"/>
            <color indexed="81"/>
            <rFont val="Tahoma"/>
            <family val="2"/>
          </rPr>
          <t>User:</t>
        </r>
        <r>
          <rPr>
            <sz val="9"/>
            <color indexed="81"/>
            <rFont val="Tahoma"/>
            <family val="2"/>
          </rPr>
          <t xml:space="preserve">
Should be entered as a negative amount</t>
        </r>
      </text>
    </comment>
    <comment ref="H15" authorId="0" shapeId="0" xr:uid="{00000000-0006-0000-1600-000004000000}">
      <text>
        <r>
          <rPr>
            <b/>
            <sz val="9"/>
            <color indexed="81"/>
            <rFont val="Tahoma"/>
            <family val="2"/>
          </rPr>
          <t>User:</t>
        </r>
        <r>
          <rPr>
            <sz val="9"/>
            <color indexed="81"/>
            <rFont val="Tahoma"/>
            <family val="2"/>
          </rPr>
          <t xml:space="preserve">
Should be entered as a negative amount</t>
        </r>
      </text>
    </comment>
    <comment ref="J15" authorId="0" shapeId="0" xr:uid="{00000000-0006-0000-1600-000005000000}">
      <text>
        <r>
          <rPr>
            <b/>
            <sz val="9"/>
            <color indexed="81"/>
            <rFont val="Tahoma"/>
            <family val="2"/>
          </rPr>
          <t>User:</t>
        </r>
        <r>
          <rPr>
            <sz val="9"/>
            <color indexed="81"/>
            <rFont val="Tahoma"/>
            <family val="2"/>
          </rPr>
          <t xml:space="preserve">
Should be entered as a negative amount</t>
        </r>
      </text>
    </comment>
    <comment ref="L15" authorId="0" shapeId="0" xr:uid="{00000000-0006-0000-1600-000006000000}">
      <text>
        <r>
          <rPr>
            <b/>
            <sz val="9"/>
            <color indexed="81"/>
            <rFont val="Tahoma"/>
            <family val="2"/>
          </rPr>
          <t>User:</t>
        </r>
        <r>
          <rPr>
            <sz val="9"/>
            <color indexed="81"/>
            <rFont val="Tahoma"/>
            <family val="2"/>
          </rPr>
          <t xml:space="preserve">
Should be entered as a negative amount</t>
        </r>
      </text>
    </comment>
    <comment ref="N15" authorId="0" shapeId="0" xr:uid="{00000000-0006-0000-1600-000007000000}">
      <text>
        <r>
          <rPr>
            <b/>
            <sz val="9"/>
            <color indexed="81"/>
            <rFont val="Tahoma"/>
            <family val="2"/>
          </rPr>
          <t>User:</t>
        </r>
        <r>
          <rPr>
            <sz val="9"/>
            <color indexed="81"/>
            <rFont val="Tahoma"/>
            <family val="2"/>
          </rPr>
          <t xml:space="preserve">
Should be entered as a negative amount</t>
        </r>
      </text>
    </comment>
    <comment ref="P15" authorId="0" shapeId="0" xr:uid="{00000000-0006-0000-1600-000008000000}">
      <text>
        <r>
          <rPr>
            <b/>
            <sz val="9"/>
            <color indexed="81"/>
            <rFont val="Tahoma"/>
            <family val="2"/>
          </rPr>
          <t>User:</t>
        </r>
        <r>
          <rPr>
            <sz val="9"/>
            <color indexed="81"/>
            <rFont val="Tahoma"/>
            <family val="2"/>
          </rPr>
          <t xml:space="preserve">
Should be entered as a negative amount</t>
        </r>
      </text>
    </comment>
    <comment ref="R15" authorId="0" shapeId="0" xr:uid="{00000000-0006-0000-1600-000009000000}">
      <text>
        <r>
          <rPr>
            <b/>
            <sz val="9"/>
            <color indexed="81"/>
            <rFont val="Tahoma"/>
            <family val="2"/>
          </rPr>
          <t>User:</t>
        </r>
        <r>
          <rPr>
            <sz val="9"/>
            <color indexed="81"/>
            <rFont val="Tahoma"/>
            <family val="2"/>
          </rPr>
          <t xml:space="preserve">
Should be entered as a negative amount</t>
        </r>
      </text>
    </comment>
    <comment ref="T15" authorId="0" shapeId="0" xr:uid="{00000000-0006-0000-1600-00000A000000}">
      <text>
        <r>
          <rPr>
            <b/>
            <sz val="9"/>
            <color indexed="81"/>
            <rFont val="Tahoma"/>
            <family val="2"/>
          </rPr>
          <t>User:</t>
        </r>
        <r>
          <rPr>
            <sz val="9"/>
            <color indexed="81"/>
            <rFont val="Tahoma"/>
            <family val="2"/>
          </rPr>
          <t xml:space="preserve">
Should be entered as a negative amount</t>
        </r>
      </text>
    </comment>
  </commentList>
</comments>
</file>

<file path=xl/sharedStrings.xml><?xml version="1.0" encoding="utf-8"?>
<sst xmlns="http://schemas.openxmlformats.org/spreadsheetml/2006/main" count="1258" uniqueCount="558">
  <si>
    <t>Debit</t>
  </si>
  <si>
    <t>Credit</t>
  </si>
  <si>
    <t>Total of conversion entries made - check for balance</t>
  </si>
  <si>
    <t>GENERAL REVENUE-UNRESTRICTED STATE AID</t>
  </si>
  <si>
    <t>Note: Accounts in all CAPS are used ONLY off-system - these accounts are NOT in WVEIS</t>
  </si>
  <si>
    <t>Total</t>
  </si>
  <si>
    <t>(This information will appear in the Notes to the Financial Statements)</t>
  </si>
  <si>
    <t>Totals</t>
  </si>
  <si>
    <t>check total</t>
  </si>
  <si>
    <t>must be zero</t>
  </si>
  <si>
    <t>NET POSITION</t>
  </si>
  <si>
    <t>Deferred Outflows of Resources</t>
  </si>
  <si>
    <t>Deferred Inflows of Resources</t>
  </si>
  <si>
    <t>SAMPLE COUNTY, WEST VIRGINIA, BOARD OF EDUCATION</t>
  </si>
  <si>
    <t>Notes to the Financial Statements Section</t>
  </si>
  <si>
    <t>Cells highlighted in yellow require manual input.</t>
  </si>
  <si>
    <t>Note:  only enter values into cells that are highlighted in yellow.  Keying over formulas will cause the template to become out of balance.</t>
  </si>
  <si>
    <t>REQUIRED SUPPLEMENTARY INFORMATION</t>
  </si>
  <si>
    <t>WARNING: Sheet is protected to prevent unintentional override of formulas.</t>
  </si>
  <si>
    <t>LEA Employer Contributions</t>
  </si>
  <si>
    <t>LEA Employer Allocation Percentage</t>
  </si>
  <si>
    <t>LEA Net Pension Liability</t>
  </si>
  <si>
    <t>This information carries to the JE's for GASB 68 in the "JEs" tab.</t>
  </si>
  <si>
    <t>Account Code</t>
  </si>
  <si>
    <t>Function Description</t>
  </si>
  <si>
    <t>Obj. 231</t>
  </si>
  <si>
    <t>Obj. 233</t>
  </si>
  <si>
    <t>Instruction - Regular Ed.</t>
  </si>
  <si>
    <t>Instruction - Special Ed.</t>
  </si>
  <si>
    <t>Instruction - Vocational Ed.</t>
  </si>
  <si>
    <t>Instruction - Other Instr. Ed.</t>
  </si>
  <si>
    <t>Instruction - Non-Public Ed.</t>
  </si>
  <si>
    <t>Instruction - Adult/Continuing Ed.</t>
  </si>
  <si>
    <t>Instruction - Community Service</t>
  </si>
  <si>
    <t>Instruction - Co-Curr. &amp; Extra-Curr.</t>
  </si>
  <si>
    <t>Supp. Serv. - Student</t>
  </si>
  <si>
    <t>Supp. Serv. - Instr. Staff</t>
  </si>
  <si>
    <t>Supp. Serv. - Gen. Admin</t>
  </si>
  <si>
    <t>Supp. Serv. - School Admin</t>
  </si>
  <si>
    <t>Supp. Serv. - Central Services</t>
  </si>
  <si>
    <t>Supp. Serv. - O &amp; M</t>
  </si>
  <si>
    <t>Supp. Serv. - Student Transport</t>
  </si>
  <si>
    <t>Supp. Serv. - Other</t>
  </si>
  <si>
    <t>Food Service Operations</t>
  </si>
  <si>
    <t>Community Service Programs</t>
  </si>
  <si>
    <t>61.XXXXX.X11XX</t>
  </si>
  <si>
    <t>61.XXXXX.X12XX</t>
  </si>
  <si>
    <t>61.XXXXX.X13XX</t>
  </si>
  <si>
    <t>61.XXXXX.X14XX</t>
  </si>
  <si>
    <t>61.XXXXX.X15XX</t>
  </si>
  <si>
    <t>61.XXXXX.X16XX</t>
  </si>
  <si>
    <t>61.XXXXX.X18XX</t>
  </si>
  <si>
    <t>61.XXXXX.X19XX</t>
  </si>
  <si>
    <t>61.XXXXX.X21XX</t>
  </si>
  <si>
    <t>61.XXXXX.X22XX</t>
  </si>
  <si>
    <t>61.XXXXX.X23XX</t>
  </si>
  <si>
    <t>61.XXXXX.X24XX</t>
  </si>
  <si>
    <t>61.XXXXX.X25XX</t>
  </si>
  <si>
    <t>61.XXXXX.X26XX</t>
  </si>
  <si>
    <t>61.XXXXX.X27XX</t>
  </si>
  <si>
    <t>61.XXXXX.X29XX</t>
  </si>
  <si>
    <t>61.XXXXX.X31XX</t>
  </si>
  <si>
    <t>61.XXXXX.X33XX</t>
  </si>
  <si>
    <t>Summary for Conversion Entries:</t>
  </si>
  <si>
    <t>%</t>
  </si>
  <si>
    <t>Pension Expense: Expenditures-Instruction</t>
  </si>
  <si>
    <t>Pension Expense: Expenditures-support services - student</t>
  </si>
  <si>
    <t>Pension Expense: Expenditures-support services - instructional staff</t>
  </si>
  <si>
    <t>Pension Expense: Expenditures-support services - general administration</t>
  </si>
  <si>
    <t>Pension Expense: Expenditures-support services - school administration</t>
  </si>
  <si>
    <t>Pension Expense: Expenditures-support services - central services</t>
  </si>
  <si>
    <t>Pension Expense: Expenditures-support services - operations and maintenance</t>
  </si>
  <si>
    <t>Pension Expense: Expenditures-support services - student transportation</t>
  </si>
  <si>
    <t>Pension Expense: Expenditures-support services - other support services</t>
  </si>
  <si>
    <t>Pension Expense: Expenditures-food services</t>
  </si>
  <si>
    <t>Pension Expense: Expenditures-community services</t>
  </si>
  <si>
    <t>Proportionate Share of collective net pension liability</t>
  </si>
  <si>
    <t>Deferred Outflows of Resources (paragraph 54 and 55)</t>
  </si>
  <si>
    <t>GASB 68 Adjustment of State Aid Support</t>
  </si>
  <si>
    <t xml:space="preserve">Paragraphs 94 and 95 of Statement 68 require an employer that has a special funding situation to recognize pension expense and revenue for the portion of the nonemployer contributing entity's total proportionate share of collective pension expense that is associated with the employer.  </t>
  </si>
  <si>
    <t xml:space="preserve">Paragraphs 94 and 95 of Statement 68 require an employer that has a special funding situation to recognize pension expense </t>
  </si>
  <si>
    <t xml:space="preserve">and revenue for the portion of the nonemployer contributing entity's total proportionate share of collective pension expense </t>
  </si>
  <si>
    <t>that is associated with the employer. (Adjusts on-behalf revenue/expense for fringe benefits through Unrestricted State Aid)</t>
  </si>
  <si>
    <t>This functional allocation is based upon actual contributions</t>
  </si>
  <si>
    <t>made during the measurement period.  That is why the prior</t>
  </si>
  <si>
    <t>year functional expense allocation percentages are being used.</t>
  </si>
  <si>
    <t>Unrestricted State Aid</t>
  </si>
  <si>
    <t>SCHEDULE OF THE DISTRICT'S PROPORTIONATE SHARE OF THE NET PENSION LIABILITY</t>
  </si>
  <si>
    <t>District's proportion of the net pension liability (asset)</t>
  </si>
  <si>
    <t>District's proportionate share of the net pension liability (asset)</t>
  </si>
  <si>
    <t>State's proportionate share of the net pension liability (asset) associated with the district</t>
  </si>
  <si>
    <t>District's proportionate share of the net pension liability (asset) as a percentage</t>
  </si>
  <si>
    <t>Plan fiduciary net position as a percentage of the total pension liability</t>
  </si>
  <si>
    <t>Note:  GASB 68 requires the accumulation of 10 years worth of comparative data for this required schedule.</t>
  </si>
  <si>
    <t>Going forward, the most current year's information is to be presented in the left-most column, with the previous years to follow on the right.</t>
  </si>
  <si>
    <t>Liability Assumed by State of WV for Board</t>
  </si>
  <si>
    <t>The following information was obtained from the Schedule of Net Pension Liability and Changes in Net Pension Liability that is contained in the RSI Section of the CPRB Consolidated Annual Financial Report as of the end of the measurement period:</t>
  </si>
  <si>
    <t>TRS Plan Fiduciary Net Position</t>
  </si>
  <si>
    <t>TRS Total Pension Liability</t>
  </si>
  <si>
    <t>SCHEDULE OF DISTRICT CONTRIBUTIONS</t>
  </si>
  <si>
    <t>Contractually required contribution</t>
  </si>
  <si>
    <t>Contributions in relation to the contractually required contribution</t>
  </si>
  <si>
    <t>Should be entered as a negative amount</t>
  </si>
  <si>
    <t>Contribution deficiency (excess)</t>
  </si>
  <si>
    <t>Calculation of Expense attributable to UAAL Special Funding:</t>
  </si>
  <si>
    <t>(Allocates across all employers)</t>
  </si>
  <si>
    <t>Total contributions from allocation schedules</t>
  </si>
  <si>
    <t>Less:</t>
  </si>
  <si>
    <t>UAAL Contribution</t>
  </si>
  <si>
    <t>Subsidy Contribution</t>
  </si>
  <si>
    <t>Basis of UAAL Expense Allocation</t>
  </si>
  <si>
    <t>LEA's Percentage Contributed</t>
  </si>
  <si>
    <t>Pension Expense Attributable to UAAL</t>
  </si>
  <si>
    <t>Calculation of Expense attributable to Subsidy Special Funding:</t>
  </si>
  <si>
    <t>Total contributions from non-LEA employers</t>
  </si>
  <si>
    <t>Basis of Subsidy Expense Allocation</t>
  </si>
  <si>
    <t>Pension Expense Attributable to Subsidy</t>
  </si>
  <si>
    <t>Total Pension Expense picked up by State for LEA</t>
  </si>
  <si>
    <t>Pension Expense: Expenditures-Instruction (Used for rounding adjustment in this entry only)</t>
  </si>
  <si>
    <t>NPL Attributable to UAAL</t>
  </si>
  <si>
    <t>LEA's Portion of UAAL NPL</t>
  </si>
  <si>
    <t>NPL Attributable to State Aid Subsidy</t>
  </si>
  <si>
    <t>LEA's Portion of Subsidy NPL</t>
  </si>
  <si>
    <t>Calculation of Liability Assumed by State of WV Associated with the Board (Disclosure Item Only)</t>
  </si>
  <si>
    <t>Calculation of NPL attributable to UAAL Special Funding:</t>
  </si>
  <si>
    <t>Calculation of NPL attributable to Subsidy Special Funding:</t>
  </si>
  <si>
    <t>Disclosure Item Only</t>
  </si>
  <si>
    <t>Summary of entries to pension Expense</t>
  </si>
  <si>
    <t>Pension Expense per GASB 68 Schedules</t>
  </si>
  <si>
    <t>Pension Expense for paragraphs 94 &amp; 95 of GASB 68</t>
  </si>
  <si>
    <t>Difference</t>
  </si>
  <si>
    <t>Schedule of Pension Deferred Outflows and Deferred Inflows of Resources</t>
  </si>
  <si>
    <t>of Resources</t>
  </si>
  <si>
    <t>of Resource</t>
  </si>
  <si>
    <t>Net difference between projected and actual earnings</t>
  </si>
  <si>
    <t>on pension plan investments</t>
  </si>
  <si>
    <t>Changes in proportion and differences between School Board</t>
  </si>
  <si>
    <t>contributions and proportionate share of contributions</t>
  </si>
  <si>
    <t>Deferred</t>
  </si>
  <si>
    <t>Outflows</t>
  </si>
  <si>
    <t>Inflows</t>
  </si>
  <si>
    <t>Amortization of Deferred Outflows and Deferred Inflows of Resources</t>
  </si>
  <si>
    <t>Years ending June 30,</t>
  </si>
  <si>
    <t>Thereafter</t>
  </si>
  <si>
    <t>1.0% Decrease</t>
  </si>
  <si>
    <t>School Board's proportionate share of</t>
  </si>
  <si>
    <t>the TRS net pension liability</t>
  </si>
  <si>
    <t>GASB 68 Sensitivity Analysis</t>
  </si>
  <si>
    <t>Total portion of NPL associated with the School Board</t>
  </si>
  <si>
    <t>School Board's proportionate share of the net pension liability</t>
  </si>
  <si>
    <t>associated with the School Board.</t>
  </si>
  <si>
    <t>State's proportionate share of the net pension liability</t>
  </si>
  <si>
    <t>Total portion of net pension liability associated with the school board</t>
  </si>
  <si>
    <t>1.0% Increase</t>
  </si>
  <si>
    <t>Total pension expense under GASB 68</t>
  </si>
  <si>
    <t>Revised LEA Contribution for allocation of UAAL amounts</t>
  </si>
  <si>
    <t>LEA's Percentage Contributed (from calculation of JE #W above)</t>
  </si>
  <si>
    <t>@</t>
  </si>
  <si>
    <t>#</t>
  </si>
  <si>
    <t>GASB 68 Adjustment to State Aid Support (paragraphs 94 &amp; 95 of GASB Statement No. 68)</t>
  </si>
  <si>
    <t>RESA Employer Contributions to TRS</t>
  </si>
  <si>
    <t>Total Plan Contributions (from audited GASB 68 Schedules)</t>
  </si>
  <si>
    <t>LINKED</t>
  </si>
  <si>
    <t>RESA's calculated allocation percentage</t>
  </si>
  <si>
    <t>Only include TRS contributions (Ret. II must not be included)</t>
  </si>
  <si>
    <t>MCVC Employer Contributions to TRS</t>
  </si>
  <si>
    <t>MCVC's calculated allocation percentage</t>
  </si>
  <si>
    <t>Schedule of Pension Amounts by Employer</t>
  </si>
  <si>
    <t>STATE TEACHERS RETIREMENT SYSTEM</t>
  </si>
  <si>
    <t>Employer</t>
  </si>
  <si>
    <t>Net Pension Liability</t>
  </si>
  <si>
    <t>Total Deferred Outflows of Resources</t>
  </si>
  <si>
    <t>Total Deferred Inflows of Resources</t>
  </si>
  <si>
    <t>Proportionate Share of Allocable Pension Expense</t>
  </si>
  <si>
    <t>Total Employer Pension Expense Excluding That Attributable to Employer-Paid Member Contributions</t>
  </si>
  <si>
    <t>TRS Plan Totals</t>
  </si>
  <si>
    <t>Fiscal Agent Totals from GASB 68 Audited Schedules</t>
  </si>
  <si>
    <t>MCVCs must reduce cash contributions to TRS by the amount allocated to the MCVC from State Aid for that fiscal year.</t>
  </si>
  <si>
    <t xml:space="preserve">GASB 68 - To Record Beginning Balances of the District's Proportionate Share of Collective Net Pension Liability and </t>
  </si>
  <si>
    <t>and Deferred Amounts Related to Pensions</t>
  </si>
  <si>
    <t>(This entry is needed to record the District's beginning proportionate share of the TRS deferred inflows of resources, deferred outflow of resources,</t>
  </si>
  <si>
    <t>and collective net pension liability.  It adjusts beginning net position to agree to prior year's ending net position)</t>
  </si>
  <si>
    <t>U1</t>
  </si>
  <si>
    <t>U2</t>
  </si>
  <si>
    <t xml:space="preserve">GASB 68  - To Record Current Year Changes in the District's Proportionate Share of Pension Amounts per the </t>
  </si>
  <si>
    <t>Current Year Audited GASB 68 Schedules</t>
  </si>
  <si>
    <t>U3</t>
  </si>
  <si>
    <t>U4</t>
  </si>
  <si>
    <t xml:space="preserve">State of WV Special Funding - SAF </t>
  </si>
  <si>
    <t>State of WV Special Funding - ARC Contribution</t>
  </si>
  <si>
    <t>Schedule of Employer Allocations</t>
  </si>
  <si>
    <t>Employer Allocation Percentage</t>
  </si>
  <si>
    <t xml:space="preserve">Instructions: Key amounts from the Audited GASB 68 Schedules into the yellow cells below.  Pay close attention to the measurement period dates in the </t>
  </si>
  <si>
    <t xml:space="preserve">audited schedules and agree the calculated totals in the spreadsheet below to the totals in the audited schedules.  </t>
  </si>
  <si>
    <t>ADDITIONAL INFORMATION</t>
  </si>
  <si>
    <t xml:space="preserve">Measurement Period Ending June 30, </t>
  </si>
  <si>
    <t>(Curr. MP)</t>
  </si>
  <si>
    <t>(1st PY MP)</t>
  </si>
  <si>
    <t>(2nd PY MP)</t>
  </si>
  <si>
    <t>(3rd PY MP)</t>
  </si>
  <si>
    <t>(4th PY MP)</t>
  </si>
  <si>
    <t>(5th PY MP)</t>
  </si>
  <si>
    <t>(6th PY MP)</t>
  </si>
  <si>
    <t>Note: Information for the current measurement period and first prior year measurement</t>
  </si>
  <si>
    <t>period are linked within the file.  All other prior year measurement period data must be</t>
  </si>
  <si>
    <t>manually entered into the yellow input cells from your prior year financial statement templates.</t>
  </si>
  <si>
    <t>The fiscal years in this tab will be rolled forward annually until all prior year deferred balances</t>
  </si>
  <si>
    <t>have been fully amortized.</t>
  </si>
  <si>
    <t>Average Remaining Service Lives (in Years)</t>
  </si>
  <si>
    <t>Current Fiscal Year End</t>
  </si>
  <si>
    <t>Beginning Bal.</t>
  </si>
  <si>
    <t>Amortization</t>
  </si>
  <si>
    <t>Ending</t>
  </si>
  <si>
    <t>Amortization of Current Measurement Period Amounts</t>
  </si>
  <si>
    <t>Meas. Per.</t>
  </si>
  <si>
    <t>Amortization of 1st PY Measurement Period Amounts</t>
  </si>
  <si>
    <t>Amortization of 2nd PY Measurement Period Amounts</t>
  </si>
  <si>
    <t>Amortization of 3rd PY Measurement Period Amounts</t>
  </si>
  <si>
    <t>Amortization of 4th PY Measurement Period Amounts</t>
  </si>
  <si>
    <t>Amortization of 5th PY Measurement Period Amounts</t>
  </si>
  <si>
    <t>Amortization of 6th PY Measurement Period Amounts</t>
  </si>
  <si>
    <t>Summary of current year amortization of amounts deferred due to changes in proportion:</t>
  </si>
  <si>
    <t>Total CY amortization of deferred amounts due to changes in proportion</t>
  </si>
  <si>
    <t>Summary of Balances of Deferred Amounts due to Changes in Proportion:</t>
  </si>
  <si>
    <t>Deferred Outflows</t>
  </si>
  <si>
    <t>Deferred (Inflows)</t>
  </si>
  <si>
    <t>Balance of Deferred Outflows/(Inflows) due to Changes in Proportions</t>
  </si>
  <si>
    <t>Measurement Period Ending June 30,</t>
  </si>
  <si>
    <t>Calculation of Changes in Proportion for RESAs</t>
  </si>
  <si>
    <t>Calculation of Changes in Proportion for LEAs</t>
  </si>
  <si>
    <t>Net Proportionate Share - RESA</t>
  </si>
  <si>
    <t>Net Proportionate Share - LEA</t>
  </si>
  <si>
    <t>Calculation of Changes in Proportion for MCVCs</t>
  </si>
  <si>
    <t>Net Proportionate Share - MCVC</t>
  </si>
  <si>
    <t>LEA Totals from GASB 68 Audited Schedules</t>
  </si>
  <si>
    <t>Check totals (should equal zero)</t>
  </si>
  <si>
    <t>^</t>
  </si>
  <si>
    <t>Outflow</t>
  </si>
  <si>
    <t>Inflow</t>
  </si>
  <si>
    <t>Tab Instructions:  Do not delete this tab.  It must be included whether you are a RESA, RESA fiscal agent, or not.  If you are not a RESA or RESA fiscal agent, leave zeros in the yellow input cells below.</t>
  </si>
  <si>
    <t>U5</t>
  </si>
  <si>
    <t>GASB 68  - To Record Deferred Outflows of Resources for Employer Contributions after the Measurement Date (objects 231 &amp; 233)</t>
  </si>
  <si>
    <t>(note that the Unrestricted State Aid amount is the CY retirement allocation for budgeting purposes - current employees only)</t>
  </si>
  <si>
    <t>GASB 68  - To fully remove current year on-behalf revenue/expenditures for the unfunded retirement contribution by WVDE (object 235).</t>
  </si>
  <si>
    <t>Objects 231 &amp; 233</t>
  </si>
  <si>
    <t>Object 235</t>
  </si>
  <si>
    <t>Obj. 235</t>
  </si>
  <si>
    <t>Prior year (aka measurement period) functional allocation percentages</t>
  </si>
  <si>
    <t>Entry is based upon actual WVEIS postings for the unfunded retirement on behalf entry.</t>
  </si>
  <si>
    <t>Amounts should be entered into the "Ret Contr Input" tab.</t>
  </si>
  <si>
    <t>FOR RESA USE ONLY!</t>
  </si>
  <si>
    <t>FOR LEA USE ONLY!</t>
  </si>
  <si>
    <t>14.XXXXX.X11XX</t>
  </si>
  <si>
    <t>14.XXXXX.X12XX</t>
  </si>
  <si>
    <t>14.XXXXX.X13XX</t>
  </si>
  <si>
    <t>14.XXXXX.X14XX</t>
  </si>
  <si>
    <t>14.XXXXX.X15XX</t>
  </si>
  <si>
    <t>14.XXXXX.X16XX</t>
  </si>
  <si>
    <t>14.XXXXX.X18XX</t>
  </si>
  <si>
    <t>14.XXXXX.X19XX</t>
  </si>
  <si>
    <t>14.XXXXX.X21XX</t>
  </si>
  <si>
    <t>14.XXXXX.X22XX</t>
  </si>
  <si>
    <t>14.XXXXX.X23XX</t>
  </si>
  <si>
    <t>14.XXXXX.X24XX</t>
  </si>
  <si>
    <t>14.XXXXX.X25XX</t>
  </si>
  <si>
    <t>14.XXXXX.X26XX</t>
  </si>
  <si>
    <t>14.XXXXX.X27XX</t>
  </si>
  <si>
    <t>14.XXXXX.X29XX</t>
  </si>
  <si>
    <t>14.XXXXX.X31XX</t>
  </si>
  <si>
    <t>14.XXXXX.X33XX</t>
  </si>
  <si>
    <t>64.XXXXX.X11XX</t>
  </si>
  <si>
    <t>64.XXXXX.X12XX</t>
  </si>
  <si>
    <t>64.XXXXX.X13XX</t>
  </si>
  <si>
    <t>64.XXXXX.X14XX</t>
  </si>
  <si>
    <t>64.XXXXX.X15XX</t>
  </si>
  <si>
    <t>64.XXXXX.X16XX</t>
  </si>
  <si>
    <t>64.XXXXX.X18XX</t>
  </si>
  <si>
    <t>64.XXXXX.X19XX</t>
  </si>
  <si>
    <t>64.XXXXX.X21XX</t>
  </si>
  <si>
    <t>64.XXXXX.X22XX</t>
  </si>
  <si>
    <t>64.XXXXX.X23XX</t>
  </si>
  <si>
    <t>64.XXXXX.X24XX</t>
  </si>
  <si>
    <t>64.XXXXX.X25XX</t>
  </si>
  <si>
    <t>64.XXXXX.X26XX</t>
  </si>
  <si>
    <t>64.XXXXX.X27XX</t>
  </si>
  <si>
    <t>64.XXXXX.X29XX</t>
  </si>
  <si>
    <t>64.XXXXX.X31XX</t>
  </si>
  <si>
    <t>64.XXXXX.X33XX</t>
  </si>
  <si>
    <t>FOR MCVC USE ONLY!</t>
  </si>
  <si>
    <t>13.XXXXX.X11XX</t>
  </si>
  <si>
    <t>13.XXXXX.X12XX</t>
  </si>
  <si>
    <t>13.XXXXX.X13XX</t>
  </si>
  <si>
    <t>13.XXXXX.X14XX</t>
  </si>
  <si>
    <t>13.XXXXX.X15XX</t>
  </si>
  <si>
    <t>13.XXXXX.X16XX</t>
  </si>
  <si>
    <t>13.XXXXX.X18XX</t>
  </si>
  <si>
    <t>13.XXXXX.X19XX</t>
  </si>
  <si>
    <t>13.XXXXX.X21XX</t>
  </si>
  <si>
    <t>13.XXXXX.X22XX</t>
  </si>
  <si>
    <t>13.XXXXX.X23XX</t>
  </si>
  <si>
    <t>13.XXXXX.X24XX</t>
  </si>
  <si>
    <t>13.XXXXX.X25XX</t>
  </si>
  <si>
    <t>13.XXXXX.X26XX</t>
  </si>
  <si>
    <t>13.XXXXX.X27XX</t>
  </si>
  <si>
    <t>13.XXXXX.X29XX</t>
  </si>
  <si>
    <t>13.XXXXX.X31XX</t>
  </si>
  <si>
    <t>13.XXXXX.X33XX</t>
  </si>
  <si>
    <t>63.XXXXX.X11XX</t>
  </si>
  <si>
    <t>63.XXXXX.X12XX</t>
  </si>
  <si>
    <t>63.XXXXX.X13XX</t>
  </si>
  <si>
    <t>63.XXXXX.X14XX</t>
  </si>
  <si>
    <t>63.XXXXX.X15XX</t>
  </si>
  <si>
    <t>63.XXXXX.X16XX</t>
  </si>
  <si>
    <t>63.XXXXX.X18XX</t>
  </si>
  <si>
    <t>63.XXXXX.X19XX</t>
  </si>
  <si>
    <t>63.XXXXX.X21XX</t>
  </si>
  <si>
    <t>63.XXXXX.X22XX</t>
  </si>
  <si>
    <t>63.XXXXX.X23XX</t>
  </si>
  <si>
    <t>63.XXXXX.X24XX</t>
  </si>
  <si>
    <t>63.XXXXX.X25XX</t>
  </si>
  <si>
    <t>63.XXXXX.X26XX</t>
  </si>
  <si>
    <t>63.XXXXX.X27XX</t>
  </si>
  <si>
    <t>63.XXXXX.X29XX</t>
  </si>
  <si>
    <t>63.XXXXX.X31XX</t>
  </si>
  <si>
    <t>63.XXXXX.X33XX</t>
  </si>
  <si>
    <t>Entity Code</t>
  </si>
  <si>
    <t>LEA</t>
  </si>
  <si>
    <t>RESA</t>
  </si>
  <si>
    <t>MCVC</t>
  </si>
  <si>
    <t>On Behalf Retirement Revenue Input:</t>
  </si>
  <si>
    <t>Rev. Src. Code</t>
  </si>
  <si>
    <t>03911</t>
  </si>
  <si>
    <t>03917</t>
  </si>
  <si>
    <t>Should equal total of Obj. 235 above.</t>
  </si>
  <si>
    <t>Amount must be zero for all RESAs</t>
  </si>
  <si>
    <t>Total allocated pension expense per GASB 68</t>
  </si>
  <si>
    <t>Summary of Changes in Deferred Outflows of Resources Related to Pensions</t>
  </si>
  <si>
    <t>Current year activity</t>
  </si>
  <si>
    <t>Manual Rounding Adjustments</t>
  </si>
  <si>
    <t>Balance at End of Measurement Period</t>
  </si>
  <si>
    <t>Balance at Beg. of Measurement Period</t>
  </si>
  <si>
    <t>Summary of Changes in Proportionate Share of Net Pension Liability (NPL)</t>
  </si>
  <si>
    <t>Summary of Changes in Deferred Inflows of Resources Related to Pensions</t>
  </si>
  <si>
    <t>Current year GASB 68 Sch. Activity</t>
  </si>
  <si>
    <t>Current Year Contr. After Measurement Date</t>
  </si>
  <si>
    <t>JE #U2</t>
  </si>
  <si>
    <t>JE #U4</t>
  </si>
  <si>
    <t>Net Deferred Outflows/(Inflows) per schedule above (exclusive of entry JE #U2)</t>
  </si>
  <si>
    <t>Net Deferred Outflows/(Inflows) per Audited GASB 68 Schedules</t>
  </si>
  <si>
    <t>JE #U1</t>
  </si>
  <si>
    <t>Total adjustment needed to Deferred Outflows of Resources</t>
  </si>
  <si>
    <t>Total adjustment needed to Deferred Inflows of Resources</t>
  </si>
  <si>
    <t>Total adjustment needed to Proportionate Share of NPL</t>
  </si>
  <si>
    <t>Net Difference Between Projected and Actual Investment Earnings on Pension Plan Investments</t>
  </si>
  <si>
    <t>Changes in Proportion and Differences Between Employer Contributions and Proportionate Share of Contributions</t>
  </si>
  <si>
    <t>Differences Between Expected and Actual Experience</t>
  </si>
  <si>
    <t>Pension Expense Excluding That Attributable to Employer-Paid Member Contributions</t>
  </si>
  <si>
    <t>Net Amortization of Deferred Amounts from Changes in Proportion and Differences Between Employer Contributions and Proportionate Share of Contributions</t>
  </si>
  <si>
    <t>Deferred Outflow/(Inflow) due to Change in Proportion - NPL</t>
  </si>
  <si>
    <t>Deferred Outflow/(Inflow) due to Change in Proportion - Deferred Outflows</t>
  </si>
  <si>
    <t>Deferred Outflow/(Inflow) due to Change in Proportion - Deferred Inflows</t>
  </si>
  <si>
    <t>Reconciliation of Net Position amount in JE #U1</t>
  </si>
  <si>
    <t>Difference (should only be small rounding difference)</t>
  </si>
  <si>
    <t>&amp;</t>
  </si>
  <si>
    <t xml:space="preserve"> - Preparer should enter these amounts from the prior year audited financial statement template.</t>
  </si>
  <si>
    <t>Net Deferred Outflow/(Inflow) due to Change in Proportion</t>
  </si>
  <si>
    <t>Retirement Allocation - Current (less any amount allocated to the TDC Plan)</t>
  </si>
  <si>
    <t>Retirement Allocation - Unfunded Liability</t>
  </si>
  <si>
    <t>Amortization of Change In Proportion by Year</t>
  </si>
  <si>
    <t>^ - Insert manual rounding amount here in order to balance the "Net LEA Amounts" tab.  Amounts should be clearly immaterial rounding differences.</t>
  </si>
  <si>
    <t>Employer's Percentage Contributed</t>
  </si>
  <si>
    <t>Employer's Portion of Subsidy Expense</t>
  </si>
  <si>
    <t>Employer's Contribution from allocation schedules</t>
  </si>
  <si>
    <t>Plus: Portion of Subsidy contributions attributable to the Employer</t>
  </si>
  <si>
    <t>Employer's Portion of UAAL Expense</t>
  </si>
  <si>
    <t>a</t>
  </si>
  <si>
    <t>i</t>
  </si>
  <si>
    <t>x</t>
  </si>
  <si>
    <t>JE# U5</t>
  </si>
  <si>
    <t>Only include TRS contributions (Ret. II must not be included).</t>
  </si>
  <si>
    <t>Total Allocated State Aid support for the current measurement period.</t>
  </si>
  <si>
    <t>Differences between expected and actual experience</t>
  </si>
  <si>
    <t>Check totals from Statement of Net Position</t>
  </si>
  <si>
    <t>Difference Should Be Zero</t>
  </si>
  <si>
    <t>Collective Amounts per Notes to the Audited GASB 68 Schedules for the current Measurement Period</t>
  </si>
  <si>
    <t>Allocation of Collective Future Amortization of Deferred Amounts</t>
  </si>
  <si>
    <t>Changes in</t>
  </si>
  <si>
    <t>Proportion</t>
  </si>
  <si>
    <t>Deferred Outflows/</t>
  </si>
  <si>
    <t xml:space="preserve">(Inflows) of </t>
  </si>
  <si>
    <t>Resources due to</t>
  </si>
  <si>
    <t>Resources</t>
  </si>
  <si>
    <t xml:space="preserve">Allocated from </t>
  </si>
  <si>
    <t>Audited Schedules</t>
  </si>
  <si>
    <t>Totals for</t>
  </si>
  <si>
    <t>Note disclosures</t>
  </si>
  <si>
    <t>Summary of Future Amortizations (by fiscal year)</t>
  </si>
  <si>
    <t>Fiscal Year Ending June 30,</t>
  </si>
  <si>
    <t>Net Amounts</t>
  </si>
  <si>
    <t>Amounts to be</t>
  </si>
  <si>
    <t>Recognized in</t>
  </si>
  <si>
    <t>Pension Expense</t>
  </si>
  <si>
    <t>net of all deferred outflows and deferred inflows for the district at the end</t>
  </si>
  <si>
    <t>Net deferred outflows/(inflows) per Statement of Net Position</t>
  </si>
  <si>
    <t>Difference should be immaterial or zero</t>
  </si>
  <si>
    <t>of the current fiscal year, less the current year balance of deferred outflows</t>
  </si>
  <si>
    <t>The deferred outflows for contributions made after the measurement period</t>
  </si>
  <si>
    <t>are not included in the amortization table because the full amount is recognized</t>
  </si>
  <si>
    <t xml:space="preserve">separately in the footnote disclosure.  See reconciliation of the future amortizations  </t>
  </si>
  <si>
    <t>Net deferred outflows/(inflows) subject to future amortization</t>
  </si>
  <si>
    <t>Less Deferred Outflows for Contributions made after the measurement period (will be expensed during the subsequent fiscal year and is not included in the amortization table)</t>
  </si>
  <si>
    <t>Discount Rate (from Note to the GASB 68 Schedules)</t>
  </si>
  <si>
    <t>Average Remaining Service Life in Years (from Notes to GASB 68 Schedules)</t>
  </si>
  <si>
    <t>NPL with 1.0% Decrease in Discount Rate (from Notes to GASB 68 Schedules)</t>
  </si>
  <si>
    <t>NPL with 1.0% Increase in Discount Rate (from Notes to GASB 68 Schedules)</t>
  </si>
  <si>
    <t>Current Discount Rate</t>
  </si>
  <si>
    <t>for contributions made after the end of the current measurement period.</t>
  </si>
  <si>
    <t>in pension expense during the subsequent fiscal year and is discussed</t>
  </si>
  <si>
    <t>Original balance of TRS pension expense at the fund level (objects 231, 233, and 235 only)</t>
  </si>
  <si>
    <t>JE #U2 - to remove current on-behalf revenue/expense and defer district contributions after the measurement period</t>
  </si>
  <si>
    <t>JE #U3 - to remove on-behalf revenue/expense for unfunded retirement contribution</t>
  </si>
  <si>
    <t>Balance of TRS Pension Expense prior to JE# U4 &amp; U5 for current year GASB 68 activity</t>
  </si>
  <si>
    <t>JE #U4 - to record current year GASB 68 activity per audited schedules</t>
  </si>
  <si>
    <t>JE #U5 - to record state aid support due to the special funding situation</t>
  </si>
  <si>
    <t>Ending Balance in Pension Expense for TRS at the DW Level</t>
  </si>
  <si>
    <t xml:space="preserve">Also note that prior year measurement period data is only available starting with 2013.  </t>
  </si>
  <si>
    <t>MCVC (Calculated Amts)</t>
  </si>
  <si>
    <t>Net LEA Amounts for GASB 68 Entries (Calculated Amts)</t>
  </si>
  <si>
    <t>MCVC (Calculated Amts )</t>
  </si>
  <si>
    <t>Net Fiscal Agent Amounts for GASB 68 Entries (Calculated Amts)</t>
  </si>
  <si>
    <t>Debit/(Credit)</t>
  </si>
  <si>
    <t>Adjustments to Pension Expense to push prior period restatement through current year activity (when not material).</t>
  </si>
  <si>
    <t>Employer Net Contributions (not including allocated State Overpayment)</t>
  </si>
  <si>
    <t>CONVERSION ENTRIES FOR GASB 68</t>
  </si>
  <si>
    <t>Sum of GASB 68 Pension Expense from prior year conversion entry JE #U2</t>
  </si>
  <si>
    <t>Net position entry from prior year conversion entry JE #U1</t>
  </si>
  <si>
    <t>Unrestricted State Aid from prior year conversion entry JE #U2</t>
  </si>
  <si>
    <t>Sum of GASB 68 Pension Expense from prior year conversion entry JE #U4</t>
  </si>
  <si>
    <t>Unrestricted State Aid from prior year conversion entry JE #U4</t>
  </si>
  <si>
    <t>Total debit/(credit) to Net Position as calculated above</t>
  </si>
  <si>
    <t>Total debit/(credit) from current year entry JE #U1</t>
  </si>
  <si>
    <t>Diff. should be immaterial or zero</t>
  </si>
  <si>
    <r>
      <rPr>
        <b/>
        <sz val="12"/>
        <rFont val="Arial"/>
        <family val="2"/>
      </rPr>
      <t>Plan Level</t>
    </r>
    <r>
      <rPr>
        <sz val="12"/>
        <rFont val="Arial"/>
        <family val="2"/>
      </rPr>
      <t xml:space="preserve"> Total Contributions</t>
    </r>
  </si>
  <si>
    <r>
      <rPr>
        <b/>
        <sz val="12"/>
        <rFont val="Arial"/>
        <family val="2"/>
      </rPr>
      <t>Plan Level</t>
    </r>
    <r>
      <rPr>
        <sz val="12"/>
        <rFont val="Arial"/>
        <family val="2"/>
      </rPr>
      <t xml:space="preserve"> NPL</t>
    </r>
  </si>
  <si>
    <r>
      <rPr>
        <b/>
        <sz val="12"/>
        <rFont val="Arial"/>
        <family val="2"/>
      </rPr>
      <t>Plan Level</t>
    </r>
    <r>
      <rPr>
        <sz val="12"/>
        <rFont val="Arial"/>
        <family val="2"/>
      </rPr>
      <t xml:space="preserve"> Deferred Outflows</t>
    </r>
  </si>
  <si>
    <r>
      <rPr>
        <b/>
        <sz val="12"/>
        <rFont val="Arial"/>
        <family val="2"/>
      </rPr>
      <t>Plan Level</t>
    </r>
    <r>
      <rPr>
        <sz val="12"/>
        <rFont val="Arial"/>
        <family val="2"/>
      </rPr>
      <t xml:space="preserve"> Deferred Inflows</t>
    </r>
  </si>
  <si>
    <r>
      <rPr>
        <b/>
        <sz val="12"/>
        <rFont val="Arial"/>
        <family val="2"/>
      </rPr>
      <t xml:space="preserve">Plan Level </t>
    </r>
    <r>
      <rPr>
        <sz val="12"/>
        <rFont val="Arial"/>
        <family val="2"/>
      </rPr>
      <t>Deferred Inflows</t>
    </r>
  </si>
  <si>
    <t>Note: The total of all future amortizations in cell C12 should agree to the</t>
  </si>
  <si>
    <t>amortizations in rows 14 through 17, below.</t>
  </si>
  <si>
    <t>District's covered payroll</t>
  </si>
  <si>
    <t>of its covered payroll</t>
  </si>
  <si>
    <t>Enter amount of the Board's TRS covered payroll</t>
  </si>
  <si>
    <t>TEACHERS RETIREMENT SYSTEM</t>
  </si>
  <si>
    <t>Contributions as a percentage of covered payroll</t>
  </si>
  <si>
    <t>Debit/(Credit) to Unrestricted State Aid for Contributions by the State outside of the Special Funding Situation</t>
  </si>
  <si>
    <t>Changes in Assumptions</t>
  </si>
  <si>
    <t>Changes in assumptions</t>
  </si>
  <si>
    <t>District contributions subsequent to the measurement date</t>
  </si>
  <si>
    <t>RESA Calculations for June 30, 2017 Measurement Date:</t>
  </si>
  <si>
    <t>Higher Ed., WVDE, &amp; Other non-LEA employers</t>
  </si>
  <si>
    <t>Input amounts from the current year Expenditure by Function report for Objects 231, 233, and 235 and prior year Expenditure by Function report for Objects 231 and 233.</t>
  </si>
  <si>
    <t>Password for protected sheet: BOE2019</t>
  </si>
  <si>
    <t>Key data from WVEIS Exp. By Function reports for object codes 231, 233, and 235 for the current fiscal year (FY19) and object codes 231 and 233 for the prior fiscal year (FY18) into the yellow cells .  Please also enter the appropriate amounts for the current and unfunded on behalf revenue recognized by the county (rev sources 03911 and 03917). You may need to unprotect this worksheet and add additional rows if your county has posted Retirement 1 and Retirement 3 contributions to accounts other than those listed above.  You will then need to update the "Summary for Conversion Entries" within this worksheet in order for the JEs tab to update properly.</t>
  </si>
  <si>
    <t>RESA Calculations for June 30, 2018 Measurement Date:</t>
  </si>
  <si>
    <t>Summary of Information for Financial Statement Notes</t>
  </si>
  <si>
    <t>CY Proportion</t>
  </si>
  <si>
    <t>PY Proportion</t>
  </si>
  <si>
    <t>Difference Between CY and PY Proportion</t>
  </si>
  <si>
    <t>Support Provided by the State, Revenue</t>
  </si>
  <si>
    <t>Recognized Pension Expense</t>
  </si>
  <si>
    <t>Tab Instructions:  Do not delete this tab.  It must be included whether you are a MCVC, MCVC fiscal agent, or not.  If you are not a MCVC or MCVC fiscal agent, leave zeros in the yellow input cells below.</t>
  </si>
  <si>
    <r>
      <t xml:space="preserve">Tab instructions:  This tab is used to generate the necessary amounts for conversion entry JE# U4.  Please key in Balance at Beg. Of Measurement Period for "Summary of Changes in Proportionate Share of Net Pension Liability (NPL). This comes directly from the face of the PY District-Wide Statement of Net Position.  The deferred outflows/inflows of resources related to pensions will also come from the face of the PY District-Wide Statement of Net Position.  </t>
    </r>
    <r>
      <rPr>
        <b/>
        <u/>
        <sz val="12"/>
        <color rgb="FFFF0000"/>
        <rFont val="Arial"/>
        <family val="2"/>
      </rPr>
      <t>All numbers should be entered as positives.</t>
    </r>
    <r>
      <rPr>
        <sz val="12"/>
        <color rgb="FFFF0000"/>
        <rFont val="Arial"/>
        <family val="2"/>
      </rPr>
      <t xml:space="preserve">  If you are not a fiscal agent county or a MCVC please enter zeros for the beginning MCVC balances.</t>
    </r>
  </si>
  <si>
    <r>
      <rPr>
        <b/>
        <sz val="12"/>
        <rFont val="Arial"/>
        <family val="2"/>
      </rPr>
      <t>Note:</t>
    </r>
    <r>
      <rPr>
        <sz val="12"/>
        <rFont val="Arial"/>
        <family val="2"/>
      </rPr>
      <t xml:space="preserve"> Information for the current measurement period and first prior year measurement period are linked within the file.  All other prior year measurement period data must be manually entered into the orange input cells above.  </t>
    </r>
    <r>
      <rPr>
        <b/>
        <u/>
        <sz val="12"/>
        <rFont val="Arial"/>
        <family val="2"/>
      </rPr>
      <t>This information will come from your PY FS or PY GASB 68 templates.</t>
    </r>
    <r>
      <rPr>
        <sz val="12"/>
        <rFont val="Arial"/>
        <family val="2"/>
      </rPr>
      <t xml:space="preserve">  If you are not a fiscal agent of a former RESA, please leave zeros in those cells. Also note that prior year measurement period data is only available starting with 2013.  The fiscal years in this tab will be rolled forward annually until all prior year deferred balances have been fully amortized.</t>
    </r>
  </si>
  <si>
    <r>
      <t xml:space="preserve">Per discussion with the auditors of the CPRB GASB 68 schedules, details of TRS plan level amortization schedules will be provided in the notes to the issued GASB 68 schedules.  The only amounts that the district (LEA, ESC or MCVC) will have to provide for the amortization schedules are the future amortizations of deferred outflows and deferred inflows of resources caused by the district's change in proportion.  Those amounts are calculated within the various "Change in Proportion" tabs within this template.  Therefore, This tab is only used to input the future amortization of other deferred amounts from the GASB 68 schedules.  These amounts will be allocated to the district based upon the district's allocation percentage.  The resulting amortization amounts will then populate into the "Amort of Def. Amounts" note disclosure tab within this workbook. </t>
    </r>
    <r>
      <rPr>
        <b/>
        <u/>
        <sz val="12"/>
        <color rgb="FFFF0000"/>
        <rFont val="Arial"/>
        <family val="2"/>
      </rPr>
      <t>The amounts have already been entered for the current year. No input for the current year is necessary on this tab.</t>
    </r>
  </si>
  <si>
    <t>LEA or ESC</t>
  </si>
  <si>
    <t>Higher Ed., WVDE, &amp; Other non-LEA</t>
  </si>
  <si>
    <t>Employer Contributions</t>
  </si>
  <si>
    <t>Employer allocation percentage</t>
  </si>
  <si>
    <t>Note: Net Pension Liability, Deferred Outflows and Deferred Inflows of Resources must be entered as POSITIVE numbers. Pension Expense numbers should reflect what is on the audited allocation schedules.</t>
  </si>
  <si>
    <t>This tab is used for ALL LEAs, ESCs, and MCVCs</t>
  </si>
  <si>
    <t>(7th PY MP)</t>
  </si>
  <si>
    <t>N/A</t>
  </si>
  <si>
    <t>71.XXXXX.X11XX</t>
  </si>
  <si>
    <t>71.XXXXX.X12XX</t>
  </si>
  <si>
    <t>71.XXXXX.X13XX</t>
  </si>
  <si>
    <t>71.XXXXX.X14XX</t>
  </si>
  <si>
    <t>71.XXXXX.X15XX</t>
  </si>
  <si>
    <t>71.XXXXX.X16XX</t>
  </si>
  <si>
    <t>71.XXXXX.X18XX</t>
  </si>
  <si>
    <t>71.XXXXX.X19XX</t>
  </si>
  <si>
    <t>71.XXXXX.X21XX</t>
  </si>
  <si>
    <t>71.XXXXX.X22XX</t>
  </si>
  <si>
    <t>71.XXXXX.X23XX</t>
  </si>
  <si>
    <t>71.XXXXX.X24XX</t>
  </si>
  <si>
    <t>71.XXXXX.X25XX</t>
  </si>
  <si>
    <t>71.XXXXX.X26XX</t>
  </si>
  <si>
    <t>71.XXXXX.X27XX</t>
  </si>
  <si>
    <t>71.XXXXX.X29XX</t>
  </si>
  <si>
    <t>71.XXXXX.X31XX</t>
  </si>
  <si>
    <t>71.XXXXX.X33XX</t>
  </si>
  <si>
    <t>73.XXXXX.X11XX</t>
  </si>
  <si>
    <t>73.XXXXX.X12XX</t>
  </si>
  <si>
    <t>73.XXXXX.X13XX</t>
  </si>
  <si>
    <t>73.XXXXX.X14XX</t>
  </si>
  <si>
    <t>73.XXXXX.X15XX</t>
  </si>
  <si>
    <t>73.XXXXX.X16XX</t>
  </si>
  <si>
    <t>73.XXXXX.X18XX</t>
  </si>
  <si>
    <t>73.XXXXX.X19XX</t>
  </si>
  <si>
    <t>73.XXXXX.X21XX</t>
  </si>
  <si>
    <t>73.XXXXX.X22XX</t>
  </si>
  <si>
    <t>73.XXXXX.X23XX</t>
  </si>
  <si>
    <t>73.XXXXX.X24XX</t>
  </si>
  <si>
    <t>73.XXXXX.X25XX</t>
  </si>
  <si>
    <t>73.XXXXX.X26XX</t>
  </si>
  <si>
    <t>73.XXXXX.X27XX</t>
  </si>
  <si>
    <t>73.XXXXX.X29XX</t>
  </si>
  <si>
    <t>73.XXXXX.X31XX</t>
  </si>
  <si>
    <t>73.XXXXX.X33XX</t>
  </si>
  <si>
    <t>(8th PY MP)</t>
  </si>
  <si>
    <t>11/12.XXXXX.X11XX</t>
  </si>
  <si>
    <t>11/12.XXXXX.X13XX</t>
  </si>
  <si>
    <t>11/12.XXXXX.X14XX</t>
  </si>
  <si>
    <t>11/12.XXXXX.X15XX</t>
  </si>
  <si>
    <t>11/12.XXXXX.X16XX</t>
  </si>
  <si>
    <t>11/12.XXXXX.X18XX</t>
  </si>
  <si>
    <t>11/12.XXXXX.X19XX</t>
  </si>
  <si>
    <t>11/12.XXXXX.X21XX</t>
  </si>
  <si>
    <t>11/12.XXXXX.X12XX</t>
  </si>
  <si>
    <t>11/12.XXXXX.X22XX</t>
  </si>
  <si>
    <t>11/12.XXXXX.X23XX</t>
  </si>
  <si>
    <t>11/12.XXXXX.X24XX</t>
  </si>
  <si>
    <t>11/12.XXXXX.X25XX</t>
  </si>
  <si>
    <t>11/12.XXXXX.X26XX</t>
  </si>
  <si>
    <t>11/12.XXXXX.X27XX</t>
  </si>
  <si>
    <t>11/12.XXXXX.X29XX</t>
  </si>
  <si>
    <t>11/12.XXXXX.X31XX</t>
  </si>
  <si>
    <t>11/12.XXXXX.X33XX</t>
  </si>
  <si>
    <t>Should not be needed for FY23 Financial Statements</t>
  </si>
  <si>
    <t>As of and for the Year Ended June 30, 2022</t>
  </si>
  <si>
    <t>FY2023</t>
  </si>
  <si>
    <t>MCVC Calculations for June 30, 2022 Measurement Date:</t>
  </si>
  <si>
    <t>(9th PY MP)</t>
  </si>
  <si>
    <t>FYE 6/30/2022:</t>
  </si>
  <si>
    <t>Total Employer Pension Expense (Offset)</t>
  </si>
  <si>
    <t>As of and for the Year Ended June 30, 2023</t>
  </si>
  <si>
    <t>WARNING: Sheet is protected to prevent unintentional override of formulas.  Password for protected sheet: BOE2024</t>
  </si>
  <si>
    <t>Net Changes in Assumptions</t>
  </si>
  <si>
    <t>Password for protected sheet: BOE2024</t>
  </si>
  <si>
    <t>FOR THE FISCAL YEAR ENDED JUNE 30, 2024</t>
  </si>
  <si>
    <t>FY2024</t>
  </si>
  <si>
    <t>Key data from WVEIS Exp. By Function reports for object codes 231, 233, and 235 for the current fiscal year and object codes 231 and 233 for the prior fiscal year into the yellow cells .  Please also enter the appropriate amounts for the current and unfunded on behalf revenue recognized by the county (rev sources 03911 and 03917). You may need to unprotect this worksheet and add additional rows if you have posted Retirement 1 and Retirement 3 contributions to accounts other than those listed above.  You will then need to update the "Summary for Conversion Entries" within this worksheet in order for the JEs tab to update properly.</t>
  </si>
  <si>
    <t>Key data from WVEIS Exp. By Function reports for object codes 231, 233, and 235 for the current fiscal year and object codes 231 and 233 for the prior fiscal year into the yellow cells .  Please also enter the appropriate amounts for the current and unfunded on behalf revenue recognized by the county (rev sources 03911 and 03917). You may need to unprotect this worksheet and add additional rows if your county has posted Retirement 1 and Retirement 3 contributions to accounts other than those listed above.  You will then need to update the "Summary for Conversion Entries" within this worksheet in order for the JEs tab to update properly.</t>
  </si>
  <si>
    <t>MCVC Calculations for June 30, 2023 Measurement Date:</t>
  </si>
  <si>
    <t>FYE 6/30/2023:</t>
  </si>
  <si>
    <t>Measurement Date of June 30, 2023</t>
  </si>
  <si>
    <t>FOR THE MEASUREMENT PERIOD ENDED JUNE 30, 2023</t>
  </si>
  <si>
    <t>FYE JUNE 30, 2023</t>
  </si>
  <si>
    <t>(Insert Name of LEA)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</si>
</sst>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409]mmmm\ d\,\ yyyy;@"/>
    <numFmt numFmtId="166" formatCode="_(&quot;$&quot;* #,##0_);_(&quot;$&quot;* \(#,##0\);_(&quot;$&quot;* &quot;-&quot;??_);_(@_)"/>
    <numFmt numFmtId="167" formatCode="0.000%"/>
    <numFmt numFmtId="168" formatCode="0.00000%"/>
    <numFmt numFmtId="169" formatCode="0.000000%"/>
    <numFmt numFmtId="170" formatCode="0.0000000%"/>
    <numFmt numFmtId="171" formatCode="_(* #,##0.0000000_);_(* \(#,##0.0000000\);_(* &quot;-&quot;??_);_(@_)"/>
    <numFmt numFmtId="172" formatCode="_(* #,##0.0_);_(* \(#,##0.0\);_(* &quot;-&quot;??_);_(@_)"/>
  </numFmts>
  <fonts count="74" x14ac:knownFonts="1">
    <font>
      <sz val="12"/>
      <name val="Arial"/>
    </font>
    <font>
      <sz val="11"/>
      <color theme="1"/>
      <name val="Calibri"/>
      <family val="2"/>
      <scheme val="minor"/>
    </font>
    <font>
      <sz val="12"/>
      <name val="Arial"/>
      <family val="2"/>
    </font>
    <font>
      <sz val="10"/>
      <name val="Arial"/>
      <family val="2"/>
    </font>
    <font>
      <b/>
      <sz val="10"/>
      <name val="Arial"/>
      <family val="2"/>
    </font>
    <font>
      <b/>
      <sz val="11"/>
      <name val="Arial"/>
      <family val="2"/>
    </font>
    <font>
      <sz val="11"/>
      <name val="Arial"/>
      <family val="2"/>
    </font>
    <font>
      <i/>
      <sz val="11"/>
      <name val="Arial"/>
      <family val="2"/>
    </font>
    <font>
      <i/>
      <sz val="10"/>
      <name val="Arial"/>
      <family val="2"/>
    </font>
    <font>
      <b/>
      <sz val="12"/>
      <name val="Arial"/>
      <family val="2"/>
    </font>
    <font>
      <b/>
      <sz val="9"/>
      <name val="Arial"/>
      <family val="2"/>
    </font>
    <font>
      <b/>
      <sz val="8"/>
      <name val="Arial"/>
      <family val="2"/>
    </font>
    <font>
      <sz val="10"/>
      <name val="Arial"/>
      <family val="2"/>
    </font>
    <font>
      <sz val="9"/>
      <name val="Arial"/>
      <family val="2"/>
    </font>
    <font>
      <sz val="8"/>
      <name val="Arial"/>
      <family val="2"/>
    </font>
    <font>
      <sz val="10"/>
      <name val="Times New Roman"/>
      <family val="1"/>
    </font>
    <font>
      <b/>
      <sz val="11"/>
      <name val="Times New Roman"/>
      <family val="1"/>
    </font>
    <font>
      <sz val="11"/>
      <name val="Times New Roman"/>
      <family val="1"/>
    </font>
    <font>
      <b/>
      <u val="singleAccounting"/>
      <sz val="11"/>
      <name val="Times New Roman"/>
      <family val="1"/>
    </font>
    <font>
      <b/>
      <i/>
      <sz val="11"/>
      <name val="Times New Roman"/>
      <family val="1"/>
    </font>
    <font>
      <sz val="12"/>
      <name val="Arial"/>
      <family val="2"/>
    </font>
    <font>
      <i/>
      <sz val="12"/>
      <name val="Arial"/>
      <family val="2"/>
    </font>
    <font>
      <b/>
      <sz val="14"/>
      <name val="Times New Roman"/>
      <family val="1"/>
    </font>
    <font>
      <sz val="11"/>
      <color indexed="8"/>
      <name val="Calibri"/>
      <family val="2"/>
    </font>
    <font>
      <sz val="12"/>
      <name val="Arial"/>
      <family val="2"/>
    </font>
    <font>
      <i/>
      <sz val="11"/>
      <name val="Times New Roman"/>
      <family val="1"/>
    </font>
    <font>
      <b/>
      <i/>
      <sz val="11"/>
      <name val="Arial"/>
      <family val="2"/>
    </font>
    <font>
      <sz val="9"/>
      <name val="Segoe UI"/>
      <family val="2"/>
    </font>
    <font>
      <sz val="9"/>
      <color indexed="81"/>
      <name val="Tahoma"/>
      <family val="2"/>
    </font>
    <font>
      <b/>
      <sz val="9"/>
      <color indexed="81"/>
      <name val="Tahoma"/>
      <family val="2"/>
    </font>
    <font>
      <sz val="12"/>
      <name val="Arial"/>
      <family val="2"/>
    </font>
    <font>
      <b/>
      <u/>
      <sz val="12"/>
      <name val="Arial"/>
      <family val="2"/>
    </font>
    <font>
      <sz val="12"/>
      <name val="Arial"/>
      <family val="2"/>
    </font>
    <font>
      <u/>
      <sz val="11"/>
      <name val="Arial"/>
      <family val="2"/>
    </font>
    <font>
      <sz val="12"/>
      <name val="Arial"/>
      <family val="2"/>
    </font>
    <font>
      <sz val="11"/>
      <color indexed="81"/>
      <name val="Tahoma"/>
      <family val="2"/>
    </font>
    <font>
      <b/>
      <u/>
      <sz val="10"/>
      <name val="Arial"/>
      <family val="2"/>
    </font>
    <font>
      <b/>
      <sz val="11"/>
      <color indexed="81"/>
      <name val="Tahoma"/>
      <family val="2"/>
    </font>
    <font>
      <b/>
      <sz val="18"/>
      <name val="Arial"/>
      <family val="2"/>
    </font>
    <font>
      <sz val="12"/>
      <name val="Arial"/>
      <family val="2"/>
    </font>
    <font>
      <b/>
      <u/>
      <sz val="14"/>
      <name val="Arial"/>
      <family val="2"/>
    </font>
    <font>
      <sz val="11"/>
      <color theme="1"/>
      <name val="Calibri"/>
      <family val="2"/>
      <scheme val="minor"/>
    </font>
    <font>
      <b/>
      <sz val="11"/>
      <color theme="1"/>
      <name val="Calibri"/>
      <family val="2"/>
      <scheme val="minor"/>
    </font>
    <font>
      <b/>
      <sz val="14"/>
      <color rgb="FFFF0000"/>
      <name val="Arial"/>
      <family val="2"/>
    </font>
    <font>
      <b/>
      <sz val="12"/>
      <color rgb="FFFF0000"/>
      <name val="Arial"/>
      <family val="2"/>
    </font>
    <font>
      <sz val="12"/>
      <color theme="1"/>
      <name val="Arial"/>
      <family val="2"/>
    </font>
    <font>
      <sz val="10"/>
      <color theme="1"/>
      <name val="Calibri"/>
      <family val="2"/>
      <scheme val="minor"/>
    </font>
    <font>
      <b/>
      <sz val="10"/>
      <color theme="1"/>
      <name val="Calibri"/>
      <family val="2"/>
      <scheme val="minor"/>
    </font>
    <font>
      <sz val="10"/>
      <color theme="1"/>
      <name val="Arial"/>
      <family val="2"/>
    </font>
    <font>
      <b/>
      <sz val="10"/>
      <color rgb="FFFF0000"/>
      <name val="Arial"/>
      <family val="2"/>
    </font>
    <font>
      <b/>
      <sz val="24"/>
      <color rgb="FFFF0000"/>
      <name val="Arial"/>
      <family val="2"/>
    </font>
    <font>
      <b/>
      <sz val="12"/>
      <color theme="1"/>
      <name val="Arial"/>
      <family val="2"/>
    </font>
    <font>
      <b/>
      <i/>
      <u/>
      <sz val="11"/>
      <color rgb="FFFF0000"/>
      <name val="Calibri"/>
      <family val="2"/>
      <scheme val="minor"/>
    </font>
    <font>
      <b/>
      <sz val="14"/>
      <color theme="1"/>
      <name val="Calibri"/>
      <family val="2"/>
      <scheme val="minor"/>
    </font>
    <font>
      <b/>
      <sz val="8"/>
      <color theme="1"/>
      <name val="Calibri"/>
      <family val="2"/>
      <scheme val="minor"/>
    </font>
    <font>
      <b/>
      <i/>
      <sz val="8"/>
      <color theme="1"/>
      <name val="Calibri"/>
      <family val="2"/>
      <scheme val="minor"/>
    </font>
    <font>
      <sz val="14"/>
      <color theme="1"/>
      <name val="Calibri"/>
      <family val="2"/>
      <scheme val="minor"/>
    </font>
    <font>
      <sz val="12"/>
      <color rgb="FFFF0000"/>
      <name val="Arial"/>
      <family val="2"/>
    </font>
    <font>
      <b/>
      <sz val="12"/>
      <color rgb="FFFF0000"/>
      <name val="Wingdings"/>
      <charset val="2"/>
    </font>
    <font>
      <b/>
      <sz val="12"/>
      <color rgb="FFFF0000"/>
      <name val="Webdings"/>
      <family val="1"/>
      <charset val="2"/>
    </font>
    <font>
      <b/>
      <i/>
      <sz val="11"/>
      <color rgb="FFFF0000"/>
      <name val="Calibri"/>
      <family val="2"/>
      <scheme val="minor"/>
    </font>
    <font>
      <b/>
      <u/>
      <sz val="11"/>
      <color rgb="FFFF0000"/>
      <name val="Calibri"/>
      <family val="2"/>
      <scheme val="minor"/>
    </font>
    <font>
      <b/>
      <sz val="16"/>
      <color theme="1"/>
      <name val="Calibri"/>
      <family val="2"/>
      <scheme val="minor"/>
    </font>
    <font>
      <b/>
      <sz val="11"/>
      <color rgb="FFFF0000"/>
      <name val="Calibri"/>
      <family val="2"/>
      <scheme val="minor"/>
    </font>
    <font>
      <b/>
      <sz val="11"/>
      <color rgb="FFFF0000"/>
      <name val="Arial"/>
      <family val="2"/>
    </font>
    <font>
      <b/>
      <sz val="12"/>
      <color rgb="FFC00000"/>
      <name val="Arial"/>
      <family val="2"/>
    </font>
    <font>
      <sz val="12"/>
      <color rgb="FFC00000"/>
      <name val="Arial"/>
      <family val="2"/>
    </font>
    <font>
      <sz val="11"/>
      <color rgb="FFFF0000"/>
      <name val="Arial"/>
      <family val="2"/>
    </font>
    <font>
      <b/>
      <u/>
      <sz val="12"/>
      <color rgb="FFFF0000"/>
      <name val="Arial"/>
      <family val="2"/>
    </font>
    <font>
      <sz val="10"/>
      <color rgb="FFFF0000"/>
      <name val="Arial"/>
      <family val="2"/>
    </font>
    <font>
      <b/>
      <u/>
      <sz val="11"/>
      <color rgb="FFFF0000"/>
      <name val="Arial"/>
      <family val="2"/>
    </font>
    <font>
      <sz val="11"/>
      <name val="Calibri"/>
      <family val="2"/>
      <scheme val="minor"/>
    </font>
    <font>
      <sz val="8"/>
      <color rgb="FFFFC000"/>
      <name val="Arial"/>
      <family val="2"/>
    </font>
    <font>
      <sz val="12"/>
      <color rgb="FFFFC000"/>
      <name val="Arial"/>
      <family val="2"/>
    </font>
  </fonts>
  <fills count="8">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C000"/>
        <bgColor indexed="64"/>
      </patternFill>
    </fill>
  </fills>
  <borders count="38">
    <border>
      <left/>
      <right/>
      <top/>
      <bottom/>
      <diagonal/>
    </border>
    <border>
      <left/>
      <right/>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diagonal/>
    </border>
    <border>
      <left/>
      <right/>
      <top/>
      <bottom style="double">
        <color indexed="64"/>
      </bottom>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15">
    <xf numFmtId="0" fontId="0" fillId="0" borderId="0"/>
    <xf numFmtId="43" fontId="2"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0" fillId="0" borderId="0" applyFont="0" applyFill="0" applyBorder="0" applyAlignment="0" applyProtection="0"/>
    <xf numFmtId="43" fontId="2" fillId="0" borderId="0" applyFont="0" applyFill="0" applyBorder="0" applyAlignment="0" applyProtection="0"/>
    <xf numFmtId="43" fontId="27" fillId="0" borderId="0" applyFont="0" applyFill="0" applyBorder="0" applyAlignment="0" applyProtection="0"/>
    <xf numFmtId="44" fontId="2" fillId="0" borderId="0" applyFont="0" applyFill="0" applyBorder="0" applyAlignment="0" applyProtection="0"/>
    <xf numFmtId="44" fontId="41" fillId="0" borderId="0" applyFont="0" applyFill="0" applyBorder="0" applyAlignment="0" applyProtection="0"/>
    <xf numFmtId="44" fontId="20" fillId="0" borderId="0" applyFont="0" applyFill="0" applyBorder="0" applyAlignment="0" applyProtection="0"/>
    <xf numFmtId="44" fontId="23" fillId="0" borderId="0" applyFont="0" applyFill="0" applyBorder="0" applyAlignment="0" applyProtection="0"/>
    <xf numFmtId="44" fontId="24" fillId="0" borderId="0" applyFont="0" applyFill="0" applyBorder="0" applyAlignment="0" applyProtection="0"/>
    <xf numFmtId="44" fontId="20" fillId="0" borderId="0" applyFont="0" applyFill="0" applyBorder="0" applyAlignment="0" applyProtection="0"/>
    <xf numFmtId="44" fontId="4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4" fillId="0" borderId="0" applyFont="0" applyFill="0" applyBorder="0" applyAlignment="0" applyProtection="0"/>
    <xf numFmtId="44" fontId="20" fillId="0" borderId="0" applyFont="0" applyFill="0" applyBorder="0" applyAlignment="0" applyProtection="0"/>
    <xf numFmtId="44" fontId="24"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0" fillId="0" borderId="0" applyFont="0" applyFill="0" applyBorder="0" applyAlignment="0" applyProtection="0"/>
    <xf numFmtId="44" fontId="2" fillId="0" borderId="0" applyFont="0" applyFill="0" applyBorder="0" applyAlignment="0" applyProtection="0"/>
    <xf numFmtId="0" fontId="41" fillId="0" borderId="0"/>
    <xf numFmtId="0" fontId="20" fillId="0" borderId="0"/>
    <xf numFmtId="0" fontId="3" fillId="0" borderId="0"/>
    <xf numFmtId="0" fontId="41" fillId="0" borderId="0"/>
    <xf numFmtId="0" fontId="41" fillId="0" borderId="0"/>
    <xf numFmtId="0" fontId="3" fillId="0" borderId="0"/>
    <xf numFmtId="0" fontId="41" fillId="0" borderId="0"/>
    <xf numFmtId="0" fontId="3" fillId="0" borderId="0"/>
    <xf numFmtId="0" fontId="3" fillId="0" borderId="0"/>
    <xf numFmtId="0" fontId="3" fillId="0" borderId="0"/>
    <xf numFmtId="0" fontId="20" fillId="0" borderId="0"/>
    <xf numFmtId="0" fontId="24" fillId="0" borderId="0"/>
    <xf numFmtId="0" fontId="20" fillId="0" borderId="0"/>
    <xf numFmtId="0" fontId="20" fillId="0" borderId="0"/>
    <xf numFmtId="0" fontId="20" fillId="0" borderId="0"/>
    <xf numFmtId="0" fontId="27" fillId="0" borderId="0">
      <alignment vertical="center"/>
    </xf>
    <xf numFmtId="0" fontId="41" fillId="0" borderId="0"/>
    <xf numFmtId="0" fontId="2" fillId="0" borderId="0"/>
    <xf numFmtId="0" fontId="3" fillId="0" borderId="0"/>
    <xf numFmtId="0" fontId="27" fillId="0" borderId="0">
      <alignment vertical="center"/>
    </xf>
    <xf numFmtId="0" fontId="12" fillId="0" borderId="0"/>
    <xf numFmtId="0" fontId="3" fillId="0" borderId="0"/>
    <xf numFmtId="9" fontId="2" fillId="0" borderId="0" applyFont="0" applyFill="0" applyBorder="0" applyAlignment="0" applyProtection="0"/>
    <xf numFmtId="9" fontId="2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24"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 fillId="0" borderId="0"/>
    <xf numFmtId="0" fontId="2" fillId="0" borderId="0"/>
    <xf numFmtId="0" fontId="1" fillId="0" borderId="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cellStyleXfs>
  <cellXfs count="562">
    <xf numFmtId="0" fontId="0" fillId="0" borderId="0" xfId="0"/>
    <xf numFmtId="0" fontId="3" fillId="0" borderId="0" xfId="0" applyFont="1"/>
    <xf numFmtId="164" fontId="3" fillId="0" borderId="0" xfId="1" applyNumberFormat="1" applyFont="1" applyFill="1" applyBorder="1" applyAlignment="1" applyProtection="1">
      <alignment horizontal="right"/>
    </xf>
    <xf numFmtId="166" fontId="3" fillId="0" borderId="0" xfId="19" applyNumberFormat="1" applyFont="1" applyFill="1" applyBorder="1" applyAlignment="1" applyProtection="1">
      <alignment horizontal="right"/>
    </xf>
    <xf numFmtId="164" fontId="3" fillId="0" borderId="0" xfId="1" applyNumberFormat="1" applyFont="1" applyFill="1" applyBorder="1" applyProtection="1"/>
    <xf numFmtId="164" fontId="3" fillId="0" borderId="0" xfId="1" applyNumberFormat="1" applyFont="1" applyFill="1" applyProtection="1"/>
    <xf numFmtId="0" fontId="3" fillId="0" borderId="4" xfId="0" applyFont="1" applyBorder="1"/>
    <xf numFmtId="166" fontId="3" fillId="0" borderId="0" xfId="19" applyNumberFormat="1" applyFont="1" applyFill="1" applyBorder="1" applyProtection="1"/>
    <xf numFmtId="164" fontId="3" fillId="0" borderId="1" xfId="1" applyNumberFormat="1" applyFont="1" applyFill="1" applyBorder="1" applyProtection="1"/>
    <xf numFmtId="0" fontId="3" fillId="0" borderId="0" xfId="0" applyFont="1" applyAlignment="1">
      <alignment horizontal="center"/>
    </xf>
    <xf numFmtId="164" fontId="3" fillId="2" borderId="0" xfId="1" applyNumberFormat="1" applyFont="1" applyFill="1" applyProtection="1">
      <protection locked="0"/>
    </xf>
    <xf numFmtId="166" fontId="3" fillId="2" borderId="0" xfId="19" applyNumberFormat="1" applyFont="1" applyFill="1" applyBorder="1" applyProtection="1">
      <protection locked="0"/>
    </xf>
    <xf numFmtId="37" fontId="3" fillId="0" borderId="0" xfId="54" applyNumberFormat="1" applyFont="1"/>
    <xf numFmtId="0" fontId="4" fillId="0" borderId="4" xfId="54" applyFont="1" applyBorder="1" applyAlignment="1">
      <alignment horizontal="center"/>
    </xf>
    <xf numFmtId="41" fontId="3" fillId="0" borderId="0" xfId="54" applyNumberFormat="1" applyFont="1"/>
    <xf numFmtId="167" fontId="3" fillId="0" borderId="0" xfId="59" applyNumberFormat="1" applyFont="1" applyFill="1" applyProtection="1"/>
    <xf numFmtId="164" fontId="3" fillId="0" borderId="2" xfId="1" applyNumberFormat="1" applyFont="1" applyFill="1" applyBorder="1" applyProtection="1"/>
    <xf numFmtId="37" fontId="3" fillId="0" borderId="0" xfId="54" applyNumberFormat="1" applyFont="1" applyAlignment="1">
      <alignment wrapText="1"/>
    </xf>
    <xf numFmtId="37" fontId="3" fillId="0" borderId="0" xfId="54" applyNumberFormat="1" applyFont="1" applyAlignment="1">
      <alignment horizontal="right"/>
    </xf>
    <xf numFmtId="169" fontId="3" fillId="0" borderId="0" xfId="59" quotePrefix="1" applyNumberFormat="1" applyFont="1" applyFill="1" applyProtection="1"/>
    <xf numFmtId="0" fontId="43" fillId="0" borderId="0" xfId="0" applyFont="1"/>
    <xf numFmtId="37" fontId="8" fillId="0" borderId="0" xfId="54" applyNumberFormat="1" applyFont="1"/>
    <xf numFmtId="0" fontId="9" fillId="0" borderId="0" xfId="0" applyFont="1"/>
    <xf numFmtId="0" fontId="2" fillId="0" borderId="0" xfId="0" applyFont="1"/>
    <xf numFmtId="164" fontId="0" fillId="0" borderId="0" xfId="1" applyNumberFormat="1" applyFont="1" applyBorder="1" applyProtection="1"/>
    <xf numFmtId="43" fontId="0" fillId="0" borderId="0" xfId="1" applyFont="1" applyBorder="1" applyProtection="1"/>
    <xf numFmtId="164" fontId="0" fillId="0" borderId="0" xfId="1" applyNumberFormat="1" applyFont="1" applyProtection="1"/>
    <xf numFmtId="0" fontId="44" fillId="0" borderId="0" xfId="0" applyFont="1"/>
    <xf numFmtId="164" fontId="0" fillId="0" borderId="1" xfId="1" applyNumberFormat="1" applyFont="1" applyBorder="1" applyProtection="1"/>
    <xf numFmtId="164" fontId="0" fillId="0" borderId="2" xfId="0" applyNumberFormat="1" applyBorder="1"/>
    <xf numFmtId="164" fontId="0" fillId="0" borderId="0" xfId="0" applyNumberFormat="1"/>
    <xf numFmtId="43" fontId="0" fillId="0" borderId="0" xfId="0" applyNumberFormat="1"/>
    <xf numFmtId="0" fontId="42" fillId="0" borderId="0" xfId="0" applyFont="1"/>
    <xf numFmtId="43" fontId="0" fillId="0" borderId="0" xfId="1" applyFont="1" applyProtection="1"/>
    <xf numFmtId="0" fontId="9" fillId="0" borderId="0" xfId="0" applyFont="1" applyAlignment="1">
      <alignment horizontal="center"/>
    </xf>
    <xf numFmtId="164" fontId="0" fillId="0" borderId="5" xfId="1" applyNumberFormat="1" applyFont="1" applyBorder="1" applyProtection="1"/>
    <xf numFmtId="168" fontId="0" fillId="0" borderId="0" xfId="59" applyNumberFormat="1" applyFont="1" applyProtection="1"/>
    <xf numFmtId="164" fontId="0" fillId="0" borderId="3" xfId="1" applyNumberFormat="1" applyFont="1" applyBorder="1" applyProtection="1"/>
    <xf numFmtId="164" fontId="0" fillId="0" borderId="0" xfId="1" applyNumberFormat="1" applyFont="1" applyFill="1" applyProtection="1"/>
    <xf numFmtId="0" fontId="2" fillId="0" borderId="0" xfId="0" applyFont="1" applyAlignment="1">
      <alignment vertical="top"/>
    </xf>
    <xf numFmtId="0" fontId="0" fillId="0" borderId="0" xfId="0" applyAlignment="1">
      <alignment vertical="top"/>
    </xf>
    <xf numFmtId="164" fontId="2" fillId="0" borderId="1" xfId="1" applyNumberFormat="1" applyFont="1" applyBorder="1" applyProtection="1"/>
    <xf numFmtId="166" fontId="3" fillId="0" borderId="0" xfId="19" applyNumberFormat="1" applyFont="1" applyFill="1" applyBorder="1" applyAlignment="1" applyProtection="1">
      <alignment horizontal="center"/>
    </xf>
    <xf numFmtId="0" fontId="14" fillId="0" borderId="0" xfId="0" applyFont="1" applyAlignment="1">
      <alignment horizontal="right"/>
    </xf>
    <xf numFmtId="0" fontId="11" fillId="0" borderId="0" xfId="0" applyFont="1" applyAlignment="1">
      <alignment horizontal="right"/>
    </xf>
    <xf numFmtId="0" fontId="2" fillId="0" borderId="0" xfId="0" applyFont="1" applyAlignment="1">
      <alignment horizontal="right"/>
    </xf>
    <xf numFmtId="166" fontId="3" fillId="0" borderId="4" xfId="19" applyNumberFormat="1" applyFont="1" applyFill="1" applyBorder="1" applyAlignment="1" applyProtection="1">
      <alignment horizontal="right"/>
    </xf>
    <xf numFmtId="10" fontId="3" fillId="0" borderId="0" xfId="59" applyNumberFormat="1" applyFont="1" applyFill="1" applyProtection="1"/>
    <xf numFmtId="0" fontId="2" fillId="0" borderId="0" xfId="54"/>
    <xf numFmtId="43" fontId="3" fillId="0" borderId="0" xfId="54" applyNumberFormat="1" applyFont="1"/>
    <xf numFmtId="10" fontId="3" fillId="0" borderId="0" xfId="59" applyNumberFormat="1" applyFont="1" applyProtection="1"/>
    <xf numFmtId="43" fontId="3" fillId="0" borderId="2" xfId="54" applyNumberFormat="1" applyFont="1" applyBorder="1"/>
    <xf numFmtId="10" fontId="3" fillId="0" borderId="2" xfId="59" applyNumberFormat="1" applyFont="1" applyBorder="1" applyProtection="1"/>
    <xf numFmtId="0" fontId="19" fillId="0" borderId="0" xfId="57" applyFont="1" applyAlignment="1">
      <alignment horizontal="left"/>
    </xf>
    <xf numFmtId="0" fontId="16" fillId="0" borderId="0" xfId="57" applyFont="1" applyAlignment="1">
      <alignment horizontal="center"/>
    </xf>
    <xf numFmtId="0" fontId="17" fillId="0" borderId="0" xfId="57" applyFont="1"/>
    <xf numFmtId="164" fontId="18" fillId="0" borderId="0" xfId="1" applyNumberFormat="1" applyFont="1" applyBorder="1" applyAlignment="1" applyProtection="1">
      <alignment horizontal="center" wrapText="1"/>
    </xf>
    <xf numFmtId="0" fontId="16" fillId="0" borderId="0" xfId="57" applyFont="1"/>
    <xf numFmtId="0" fontId="16" fillId="0" borderId="0" xfId="58" applyFont="1"/>
    <xf numFmtId="0" fontId="25" fillId="0" borderId="0" xfId="58" applyFont="1"/>
    <xf numFmtId="0" fontId="26" fillId="0" borderId="0" xfId="0" applyFont="1"/>
    <xf numFmtId="164" fontId="0" fillId="0" borderId="0" xfId="13" applyNumberFormat="1" applyFont="1" applyFill="1" applyProtection="1"/>
    <xf numFmtId="0" fontId="0" fillId="0" borderId="0" xfId="0" applyAlignment="1">
      <alignment horizontal="left"/>
    </xf>
    <xf numFmtId="164" fontId="0" fillId="0" borderId="19" xfId="13" applyNumberFormat="1" applyFont="1" applyFill="1" applyBorder="1" applyProtection="1"/>
    <xf numFmtId="0" fontId="15" fillId="0" borderId="0" xfId="0" applyFont="1" applyAlignment="1">
      <alignment horizontal="left"/>
    </xf>
    <xf numFmtId="0" fontId="15" fillId="0" borderId="0" xfId="0" applyFont="1"/>
    <xf numFmtId="0" fontId="15" fillId="0" borderId="0" xfId="0" applyFont="1" applyAlignment="1">
      <alignment horizontal="left" indent="2"/>
    </xf>
    <xf numFmtId="0" fontId="3" fillId="0" borderId="0" xfId="0" applyFont="1" applyAlignment="1">
      <alignment horizontal="left" indent="2"/>
    </xf>
    <xf numFmtId="164" fontId="0" fillId="0" borderId="0" xfId="13" applyNumberFormat="1" applyFont="1" applyFill="1" applyBorder="1" applyProtection="1"/>
    <xf numFmtId="9" fontId="0" fillId="0" borderId="0" xfId="59" applyFont="1" applyFill="1" applyBorder="1" applyProtection="1"/>
    <xf numFmtId="0" fontId="21" fillId="0" borderId="0" xfId="0" applyFont="1" applyAlignment="1">
      <alignment horizontal="left"/>
    </xf>
    <xf numFmtId="0" fontId="21" fillId="0" borderId="0" xfId="0" applyFont="1"/>
    <xf numFmtId="164" fontId="21" fillId="0" borderId="6" xfId="1" applyNumberFormat="1" applyFont="1" applyBorder="1" applyProtection="1"/>
    <xf numFmtId="164" fontId="21" fillId="0" borderId="0" xfId="1" applyNumberFormat="1" applyFont="1" applyProtection="1"/>
    <xf numFmtId="0" fontId="0" fillId="0" borderId="0" xfId="0" applyAlignment="1">
      <alignment horizontal="left" indent="1"/>
    </xf>
    <xf numFmtId="0" fontId="18" fillId="0" borderId="0" xfId="57" quotePrefix="1" applyFont="1" applyAlignment="1">
      <alignment horizontal="center"/>
    </xf>
    <xf numFmtId="0" fontId="19" fillId="0" borderId="0" xfId="0" applyFont="1"/>
    <xf numFmtId="164" fontId="0" fillId="0" borderId="7" xfId="1" applyNumberFormat="1" applyFont="1" applyBorder="1" applyProtection="1"/>
    <xf numFmtId="164" fontId="0" fillId="0" borderId="8" xfId="1" applyNumberFormat="1" applyFont="1" applyBorder="1" applyProtection="1"/>
    <xf numFmtId="0" fontId="20" fillId="0" borderId="8" xfId="0" applyFont="1" applyBorder="1"/>
    <xf numFmtId="0" fontId="0" fillId="0" borderId="8" xfId="0" applyBorder="1"/>
    <xf numFmtId="0" fontId="0" fillId="0" borderId="9" xfId="0" applyBorder="1"/>
    <xf numFmtId="164" fontId="0" fillId="0" borderId="10" xfId="1" applyNumberFormat="1" applyFont="1" applyBorder="1" applyProtection="1"/>
    <xf numFmtId="0" fontId="20" fillId="0" borderId="0" xfId="0" applyFont="1"/>
    <xf numFmtId="0" fontId="0" fillId="0" borderId="11" xfId="0" applyBorder="1"/>
    <xf numFmtId="0" fontId="19" fillId="0" borderId="0" xfId="0" applyFont="1" applyAlignment="1">
      <alignment horizontal="left" wrapText="1"/>
    </xf>
    <xf numFmtId="0" fontId="19" fillId="0" borderId="12" xfId="0" applyFont="1" applyBorder="1" applyAlignment="1">
      <alignment horizontal="left" wrapText="1"/>
    </xf>
    <xf numFmtId="0" fontId="19" fillId="0" borderId="13" xfId="0" applyFont="1" applyBorder="1" applyAlignment="1">
      <alignment horizontal="left" wrapText="1"/>
    </xf>
    <xf numFmtId="0" fontId="0" fillId="0" borderId="13" xfId="0" applyBorder="1"/>
    <xf numFmtId="0" fontId="0" fillId="0" borderId="14" xfId="0" applyBorder="1"/>
    <xf numFmtId="0" fontId="2" fillId="0" borderId="0" xfId="0" applyFont="1" applyAlignment="1">
      <alignment horizontal="left" indent="3"/>
    </xf>
    <xf numFmtId="0" fontId="2" fillId="0" borderId="0" xfId="0" applyFont="1" applyAlignment="1">
      <alignment vertical="top" wrapText="1"/>
    </xf>
    <xf numFmtId="0" fontId="14" fillId="0" borderId="0" xfId="54" applyFont="1" applyAlignment="1">
      <alignment horizontal="left" indent="2"/>
    </xf>
    <xf numFmtId="0" fontId="0" fillId="0" borderId="0" xfId="0" applyAlignment="1">
      <alignment vertical="center"/>
    </xf>
    <xf numFmtId="169" fontId="9" fillId="0" borderId="2" xfId="59" applyNumberFormat="1" applyFont="1" applyBorder="1" applyProtection="1"/>
    <xf numFmtId="164" fontId="32" fillId="2" borderId="0" xfId="1" applyNumberFormat="1" applyFont="1" applyFill="1" applyProtection="1">
      <protection locked="0"/>
    </xf>
    <xf numFmtId="164" fontId="0" fillId="0" borderId="0" xfId="1" applyNumberFormat="1" applyFont="1" applyFill="1"/>
    <xf numFmtId="0" fontId="9" fillId="0" borderId="15" xfId="0" applyFont="1" applyBorder="1"/>
    <xf numFmtId="0" fontId="0" fillId="0" borderId="4" xfId="0" applyBorder="1"/>
    <xf numFmtId="169" fontId="46" fillId="2" borderId="0" xfId="59" applyNumberFormat="1" applyFont="1" applyFill="1" applyBorder="1" applyAlignment="1" applyProtection="1">
      <alignment horizontal="center" wrapText="1"/>
      <protection locked="0"/>
    </xf>
    <xf numFmtId="0" fontId="44" fillId="0" borderId="0" xfId="1" applyNumberFormat="1" applyFont="1" applyFill="1" applyBorder="1" applyAlignment="1" applyProtection="1">
      <alignment horizontal="left" vertical="center"/>
    </xf>
    <xf numFmtId="0" fontId="44" fillId="0" borderId="16" xfId="1" applyNumberFormat="1" applyFont="1" applyFill="1" applyBorder="1" applyAlignment="1" applyProtection="1">
      <alignment horizontal="left" vertical="center"/>
    </xf>
    <xf numFmtId="164" fontId="30" fillId="0" borderId="0" xfId="1" applyNumberFormat="1" applyFont="1" applyFill="1" applyBorder="1" applyProtection="1"/>
    <xf numFmtId="169" fontId="30" fillId="0" borderId="4" xfId="59" applyNumberFormat="1" applyFont="1" applyFill="1" applyBorder="1" applyProtection="1"/>
    <xf numFmtId="164" fontId="46" fillId="2" borderId="0" xfId="1" applyNumberFormat="1" applyFont="1" applyFill="1" applyBorder="1" applyAlignment="1" applyProtection="1">
      <alignment horizontal="center" wrapText="1"/>
      <protection locked="0"/>
    </xf>
    <xf numFmtId="0" fontId="2" fillId="0" borderId="15" xfId="0" applyFont="1" applyBorder="1"/>
    <xf numFmtId="0" fontId="2" fillId="0" borderId="17" xfId="0" applyFont="1" applyBorder="1"/>
    <xf numFmtId="169" fontId="6" fillId="2" borderId="0" xfId="59" applyNumberFormat="1" applyFont="1" applyFill="1" applyBorder="1" applyProtection="1">
      <protection locked="0"/>
    </xf>
    <xf numFmtId="164" fontId="30" fillId="0" borderId="0" xfId="1" applyNumberFormat="1" applyFont="1" applyFill="1" applyProtection="1"/>
    <xf numFmtId="10" fontId="0" fillId="0" borderId="20" xfId="59" applyNumberFormat="1" applyFont="1" applyFill="1" applyBorder="1" applyProtection="1"/>
    <xf numFmtId="10" fontId="0" fillId="0" borderId="21" xfId="59" applyNumberFormat="1" applyFont="1" applyFill="1" applyBorder="1" applyProtection="1"/>
    <xf numFmtId="10" fontId="0" fillId="0" borderId="22" xfId="59" applyNumberFormat="1" applyFont="1" applyFill="1" applyBorder="1" applyProtection="1"/>
    <xf numFmtId="0" fontId="7" fillId="0" borderId="0" xfId="0" applyFont="1"/>
    <xf numFmtId="0" fontId="48" fillId="0" borderId="0" xfId="54" applyFont="1" applyAlignment="1">
      <alignment horizontal="left" indent="2"/>
    </xf>
    <xf numFmtId="164" fontId="2" fillId="0" borderId="0" xfId="0" applyNumberFormat="1" applyFont="1"/>
    <xf numFmtId="0" fontId="3" fillId="0" borderId="0" xfId="54" applyFont="1"/>
    <xf numFmtId="0" fontId="3" fillId="0" borderId="0" xfId="54" quotePrefix="1" applyFont="1"/>
    <xf numFmtId="43" fontId="3" fillId="2" borderId="0" xfId="1" applyFont="1" applyFill="1" applyProtection="1">
      <protection locked="0"/>
    </xf>
    <xf numFmtId="43" fontId="3" fillId="0" borderId="0" xfId="1" applyFont="1" applyProtection="1"/>
    <xf numFmtId="43" fontId="3" fillId="0" borderId="0" xfId="1" applyFont="1" applyFill="1" applyProtection="1"/>
    <xf numFmtId="0" fontId="49" fillId="0" borderId="0" xfId="54" applyFont="1"/>
    <xf numFmtId="0" fontId="50" fillId="0" borderId="0" xfId="54" applyFont="1" applyAlignment="1">
      <alignment horizontal="center"/>
    </xf>
    <xf numFmtId="0" fontId="4" fillId="0" borderId="0" xfId="54" applyFont="1"/>
    <xf numFmtId="0" fontId="36" fillId="0" borderId="0" xfId="54" applyFont="1"/>
    <xf numFmtId="0" fontId="4" fillId="0" borderId="1" xfId="54" applyFont="1" applyBorder="1" applyAlignment="1">
      <alignment horizontal="center"/>
    </xf>
    <xf numFmtId="0" fontId="4" fillId="0" borderId="0" xfId="54" applyFont="1" applyAlignment="1">
      <alignment horizontal="center"/>
    </xf>
    <xf numFmtId="0" fontId="36" fillId="0" borderId="0" xfId="54" applyFont="1" applyAlignment="1">
      <alignment horizontal="center"/>
    </xf>
    <xf numFmtId="0" fontId="4" fillId="0" borderId="3" xfId="54" applyFont="1" applyBorder="1" applyAlignment="1">
      <alignment horizontal="center"/>
    </xf>
    <xf numFmtId="0" fontId="3" fillId="0" borderId="0" xfId="54" applyFont="1" applyAlignment="1">
      <alignment horizontal="right"/>
    </xf>
    <xf numFmtId="0" fontId="3" fillId="0" borderId="0" xfId="54" quotePrefix="1" applyFont="1" applyAlignment="1">
      <alignment horizontal="center"/>
    </xf>
    <xf numFmtId="10" fontId="0" fillId="0" borderId="0" xfId="59" applyNumberFormat="1" applyFont="1" applyFill="1" applyBorder="1" applyProtection="1"/>
    <xf numFmtId="43" fontId="2" fillId="0" borderId="0" xfId="0" applyNumberFormat="1" applyFont="1"/>
    <xf numFmtId="164" fontId="0" fillId="0" borderId="20" xfId="13" applyNumberFormat="1" applyFont="1" applyFill="1" applyBorder="1" applyProtection="1"/>
    <xf numFmtId="164" fontId="34" fillId="3" borderId="0" xfId="13" applyNumberFormat="1" applyFont="1" applyFill="1" applyProtection="1"/>
    <xf numFmtId="0" fontId="0" fillId="3" borderId="0" xfId="0" applyFill="1"/>
    <xf numFmtId="164" fontId="34" fillId="0" borderId="0" xfId="13" applyNumberFormat="1" applyFont="1" applyFill="1" applyProtection="1"/>
    <xf numFmtId="0" fontId="9" fillId="0" borderId="3" xfId="0" applyFont="1" applyBorder="1" applyAlignment="1">
      <alignment horizontal="center"/>
    </xf>
    <xf numFmtId="0" fontId="9" fillId="0" borderId="1" xfId="0" applyFont="1" applyBorder="1" applyAlignment="1">
      <alignment horizontal="center"/>
    </xf>
    <xf numFmtId="164" fontId="2" fillId="0" borderId="0" xfId="1" applyNumberFormat="1" applyFont="1" applyFill="1" applyBorder="1" applyProtection="1">
      <protection locked="0"/>
    </xf>
    <xf numFmtId="164" fontId="2" fillId="0" borderId="1" xfId="1" applyNumberFormat="1" applyFont="1" applyFill="1" applyBorder="1" applyProtection="1">
      <protection locked="0"/>
    </xf>
    <xf numFmtId="164" fontId="0" fillId="0" borderId="1" xfId="0" applyNumberFormat="1" applyBorder="1"/>
    <xf numFmtId="164" fontId="2" fillId="0" borderId="0" xfId="13" applyNumberFormat="1" applyFont="1" applyFill="1" applyBorder="1" applyAlignment="1" applyProtection="1">
      <alignment horizontal="right"/>
    </xf>
    <xf numFmtId="0" fontId="31" fillId="0" borderId="0" xfId="0" applyFont="1" applyAlignment="1">
      <alignment horizontal="left"/>
    </xf>
    <xf numFmtId="164" fontId="3" fillId="0" borderId="0" xfId="54" applyNumberFormat="1" applyFont="1"/>
    <xf numFmtId="164" fontId="3" fillId="0" borderId="2" xfId="54" applyNumberFormat="1" applyFont="1" applyBorder="1"/>
    <xf numFmtId="164" fontId="39" fillId="4" borderId="0" xfId="1" applyNumberFormat="1" applyFont="1" applyFill="1" applyBorder="1" applyProtection="1"/>
    <xf numFmtId="164" fontId="2" fillId="4" borderId="0" xfId="1" applyNumberFormat="1" applyFont="1" applyFill="1" applyBorder="1" applyProtection="1"/>
    <xf numFmtId="43" fontId="39" fillId="4" borderId="0" xfId="1" applyFont="1" applyFill="1" applyBorder="1" applyProtection="1"/>
    <xf numFmtId="168" fontId="39" fillId="4" borderId="0" xfId="59" applyNumberFormat="1" applyFont="1" applyFill="1" applyBorder="1" applyProtection="1"/>
    <xf numFmtId="164" fontId="51" fillId="0" borderId="2" xfId="1" applyNumberFormat="1" applyFont="1" applyFill="1" applyBorder="1" applyProtection="1"/>
    <xf numFmtId="168" fontId="39" fillId="4" borderId="0" xfId="59" applyNumberFormat="1" applyFont="1" applyFill="1" applyProtection="1"/>
    <xf numFmtId="0" fontId="42" fillId="0" borderId="0" xfId="0" applyFont="1" applyAlignment="1">
      <alignment horizontal="center"/>
    </xf>
    <xf numFmtId="164" fontId="2" fillId="0" borderId="3" xfId="1" applyNumberFormat="1" applyFont="1" applyBorder="1" applyProtection="1"/>
    <xf numFmtId="41" fontId="11" fillId="0" borderId="4" xfId="0" applyNumberFormat="1" applyFont="1" applyBorder="1" applyAlignment="1">
      <alignment horizontal="center" wrapText="1"/>
    </xf>
    <xf numFmtId="41" fontId="10" fillId="0" borderId="4" xfId="0" applyNumberFormat="1" applyFont="1" applyBorder="1" applyAlignment="1">
      <alignment horizontal="center" wrapText="1"/>
    </xf>
    <xf numFmtId="164" fontId="6" fillId="0" borderId="0" xfId="1" applyNumberFormat="1" applyFont="1" applyProtection="1"/>
    <xf numFmtId="164" fontId="6" fillId="0" borderId="2" xfId="1" applyNumberFormat="1" applyFont="1" applyBorder="1" applyProtection="1"/>
    <xf numFmtId="0" fontId="2" fillId="0" borderId="23" xfId="0" applyFont="1" applyBorder="1"/>
    <xf numFmtId="0" fontId="0" fillId="0" borderId="24" xfId="0" applyBorder="1"/>
    <xf numFmtId="0" fontId="0" fillId="0" borderId="25" xfId="0" applyBorder="1"/>
    <xf numFmtId="0" fontId="0" fillId="0" borderId="16" xfId="0" applyBorder="1"/>
    <xf numFmtId="0" fontId="0" fillId="0" borderId="18" xfId="0" applyBorder="1"/>
    <xf numFmtId="164" fontId="6" fillId="0" borderId="0" xfId="1" applyNumberFormat="1" applyFont="1" applyBorder="1" applyProtection="1"/>
    <xf numFmtId="0" fontId="19" fillId="0" borderId="24" xfId="0" applyFont="1" applyBorder="1" applyAlignment="1">
      <alignment horizontal="left" wrapText="1"/>
    </xf>
    <xf numFmtId="0" fontId="2" fillId="0" borderId="15" xfId="0" applyFont="1" applyBorder="1" applyAlignment="1">
      <alignment horizontal="left" indent="3"/>
    </xf>
    <xf numFmtId="0" fontId="2" fillId="0" borderId="15" xfId="0" applyFont="1" applyBorder="1" applyAlignment="1">
      <alignment horizontal="left" wrapText="1" indent="3"/>
    </xf>
    <xf numFmtId="0" fontId="2" fillId="0" borderId="15" xfId="0" applyFont="1" applyBorder="1" applyAlignment="1">
      <alignment horizontal="left" indent="1"/>
    </xf>
    <xf numFmtId="0" fontId="19" fillId="0" borderId="15" xfId="0" applyFont="1" applyBorder="1" applyAlignment="1">
      <alignment horizontal="left" wrapText="1"/>
    </xf>
    <xf numFmtId="0" fontId="2" fillId="0" borderId="16" xfId="0" applyFont="1" applyBorder="1" applyAlignment="1">
      <alignment vertical="top" wrapText="1"/>
    </xf>
    <xf numFmtId="0" fontId="19" fillId="0" borderId="17" xfId="0" applyFont="1" applyBorder="1" applyAlignment="1">
      <alignment horizontal="left" wrapText="1"/>
    </xf>
    <xf numFmtId="164" fontId="0" fillId="0" borderId="4" xfId="1" applyNumberFormat="1" applyFont="1" applyBorder="1" applyProtection="1"/>
    <xf numFmtId="0" fontId="2" fillId="0" borderId="4" xfId="0" applyFont="1" applyBorder="1" applyAlignment="1">
      <alignment vertical="top" wrapText="1"/>
    </xf>
    <xf numFmtId="0" fontId="2" fillId="0" borderId="18" xfId="0" applyFont="1" applyBorder="1" applyAlignment="1">
      <alignment vertical="top" wrapText="1"/>
    </xf>
    <xf numFmtId="0" fontId="40" fillId="0" borderId="23" xfId="0" applyFont="1" applyBorder="1" applyAlignment="1">
      <alignment horizontal="left" indent="1"/>
    </xf>
    <xf numFmtId="0" fontId="20" fillId="0" borderId="0" xfId="0" applyFont="1" applyAlignment="1">
      <alignment wrapText="1"/>
    </xf>
    <xf numFmtId="0" fontId="45" fillId="0" borderId="0" xfId="0" applyFont="1"/>
    <xf numFmtId="0" fontId="0" fillId="0" borderId="15" xfId="0" applyBorder="1"/>
    <xf numFmtId="0" fontId="0" fillId="0" borderId="0" xfId="0" applyAlignment="1">
      <alignment horizontal="center"/>
    </xf>
    <xf numFmtId="0" fontId="52" fillId="0" borderId="0" xfId="0" applyFont="1"/>
    <xf numFmtId="0" fontId="52" fillId="0" borderId="0" xfId="0" applyFont="1" applyAlignment="1">
      <alignment horizontal="center"/>
    </xf>
    <xf numFmtId="0" fontId="53" fillId="0" borderId="15" xfId="0" applyFont="1" applyBorder="1" applyAlignment="1">
      <alignment horizontal="center"/>
    </xf>
    <xf numFmtId="0" fontId="54" fillId="0" borderId="4" xfId="0" applyFont="1" applyBorder="1" applyAlignment="1">
      <alignment horizontal="center" wrapText="1"/>
    </xf>
    <xf numFmtId="0" fontId="54" fillId="0" borderId="0" xfId="0" applyFont="1" applyAlignment="1">
      <alignment horizontal="center"/>
    </xf>
    <xf numFmtId="0" fontId="54" fillId="0" borderId="0" xfId="0" applyFont="1" applyAlignment="1">
      <alignment horizontal="center" wrapText="1"/>
    </xf>
    <xf numFmtId="0" fontId="55" fillId="0" borderId="4" xfId="0" applyFont="1" applyBorder="1" applyAlignment="1">
      <alignment horizontal="center" wrapText="1"/>
    </xf>
    <xf numFmtId="0" fontId="54" fillId="0" borderId="0" xfId="0" applyFont="1"/>
    <xf numFmtId="0" fontId="53" fillId="0" borderId="16" xfId="0" applyFont="1" applyBorder="1"/>
    <xf numFmtId="0" fontId="47" fillId="0" borderId="0" xfId="0" applyFont="1" applyAlignment="1">
      <alignment horizontal="center" wrapText="1"/>
    </xf>
    <xf numFmtId="0" fontId="47" fillId="0" borderId="0" xfId="0" applyFont="1" applyAlignment="1">
      <alignment horizontal="center"/>
    </xf>
    <xf numFmtId="0" fontId="53" fillId="0" borderId="0" xfId="0" applyFont="1" applyAlignment="1">
      <alignment horizontal="center"/>
    </xf>
    <xf numFmtId="0" fontId="53" fillId="0" borderId="0" xfId="0" applyFont="1"/>
    <xf numFmtId="166" fontId="46" fillId="0" borderId="15" xfId="0" applyNumberFormat="1" applyFont="1" applyBorder="1"/>
    <xf numFmtId="0" fontId="56" fillId="0" borderId="15" xfId="0" applyFont="1" applyBorder="1" applyAlignment="1">
      <alignment horizontal="center"/>
    </xf>
    <xf numFmtId="166" fontId="42" fillId="0" borderId="15" xfId="0" applyNumberFormat="1" applyFont="1" applyBorder="1"/>
    <xf numFmtId="166" fontId="0" fillId="0" borderId="15" xfId="0" applyNumberFormat="1" applyBorder="1"/>
    <xf numFmtId="166" fontId="0" fillId="0" borderId="0" xfId="0" applyNumberFormat="1"/>
    <xf numFmtId="166" fontId="0" fillId="0" borderId="0" xfId="0" applyNumberFormat="1" applyAlignment="1">
      <alignment horizontal="center"/>
    </xf>
    <xf numFmtId="166" fontId="0" fillId="0" borderId="16" xfId="0" applyNumberFormat="1" applyBorder="1"/>
    <xf numFmtId="166" fontId="42" fillId="0" borderId="17" xfId="0" applyNumberFormat="1" applyFont="1" applyBorder="1"/>
    <xf numFmtId="166" fontId="0" fillId="0" borderId="4" xfId="0" applyNumberFormat="1" applyBorder="1"/>
    <xf numFmtId="166" fontId="0" fillId="0" borderId="4" xfId="0" applyNumberFormat="1" applyBorder="1" applyAlignment="1">
      <alignment horizontal="center"/>
    </xf>
    <xf numFmtId="166" fontId="0" fillId="0" borderId="18" xfId="0" applyNumberFormat="1" applyBorder="1"/>
    <xf numFmtId="0" fontId="47" fillId="0" borderId="4" xfId="0" applyFont="1" applyBorder="1" applyAlignment="1">
      <alignment horizontal="center" wrapText="1"/>
    </xf>
    <xf numFmtId="9" fontId="46" fillId="0" borderId="0" xfId="59" applyFont="1" applyBorder="1" applyAlignment="1" applyProtection="1">
      <alignment horizontal="center" wrapText="1"/>
    </xf>
    <xf numFmtId="170" fontId="0" fillId="0" borderId="0" xfId="59" applyNumberFormat="1" applyFont="1" applyProtection="1"/>
    <xf numFmtId="0" fontId="0" fillId="0" borderId="17" xfId="0" applyBorder="1"/>
    <xf numFmtId="166" fontId="46" fillId="2" borderId="15" xfId="0" applyNumberFormat="1" applyFont="1" applyFill="1" applyBorder="1" applyProtection="1">
      <protection locked="0"/>
    </xf>
    <xf numFmtId="43" fontId="3" fillId="0" borderId="0" xfId="1" applyFont="1" applyFill="1" applyProtection="1">
      <protection locked="0"/>
    </xf>
    <xf numFmtId="0" fontId="0" fillId="0" borderId="26" xfId="0" applyBorder="1"/>
    <xf numFmtId="164" fontId="3" fillId="0" borderId="0" xfId="0" applyNumberFormat="1" applyFont="1" applyAlignment="1">
      <alignment horizontal="left"/>
    </xf>
    <xf numFmtId="164" fontId="0" fillId="0" borderId="0" xfId="0" applyNumberFormat="1" applyAlignment="1">
      <alignment horizontal="left"/>
    </xf>
    <xf numFmtId="164" fontId="3" fillId="0" borderId="0" xfId="1" applyNumberFormat="1" applyFont="1" applyFill="1" applyBorder="1" applyAlignment="1" applyProtection="1">
      <alignment horizontal="left"/>
    </xf>
    <xf numFmtId="164" fontId="3" fillId="0" borderId="2" xfId="1" applyNumberFormat="1" applyFont="1" applyFill="1" applyBorder="1" applyAlignment="1" applyProtection="1">
      <alignment horizontal="left"/>
    </xf>
    <xf numFmtId="164" fontId="6" fillId="2" borderId="4" xfId="0" applyNumberFormat="1" applyFont="1" applyFill="1" applyBorder="1" applyProtection="1">
      <protection locked="0"/>
    </xf>
    <xf numFmtId="0" fontId="0" fillId="0" borderId="23" xfId="0" applyBorder="1"/>
    <xf numFmtId="0" fontId="9" fillId="0" borderId="15" xfId="0" applyFont="1" applyBorder="1" applyAlignment="1">
      <alignment horizontal="center"/>
    </xf>
    <xf numFmtId="0" fontId="9" fillId="0" borderId="16" xfId="0" applyFont="1" applyBorder="1" applyAlignment="1">
      <alignment horizontal="center"/>
    </xf>
    <xf numFmtId="0" fontId="5" fillId="0" borderId="15" xfId="0" applyFont="1" applyBorder="1" applyAlignment="1">
      <alignment horizontal="center"/>
    </xf>
    <xf numFmtId="0" fontId="5" fillId="0" borderId="0" xfId="0" applyFont="1" applyAlignment="1">
      <alignment horizontal="center"/>
    </xf>
    <xf numFmtId="0" fontId="2" fillId="0" borderId="15" xfId="0" applyFont="1" applyBorder="1" applyAlignment="1">
      <alignment horizontal="center"/>
    </xf>
    <xf numFmtId="164" fontId="6" fillId="0" borderId="0" xfId="0" applyNumberFormat="1" applyFont="1"/>
    <xf numFmtId="164" fontId="6" fillId="0" borderId="15" xfId="0" applyNumberFormat="1" applyFont="1" applyBorder="1"/>
    <xf numFmtId="164" fontId="6" fillId="0" borderId="16" xfId="0" applyNumberFormat="1" applyFont="1" applyBorder="1"/>
    <xf numFmtId="0" fontId="2" fillId="0" borderId="17" xfId="0" applyFont="1" applyBorder="1" applyAlignment="1">
      <alignment horizontal="center"/>
    </xf>
    <xf numFmtId="164" fontId="6" fillId="0" borderId="4" xfId="0" applyNumberFormat="1" applyFont="1" applyBorder="1"/>
    <xf numFmtId="164" fontId="6" fillId="0" borderId="17" xfId="0" applyNumberFormat="1" applyFont="1" applyBorder="1"/>
    <xf numFmtId="164" fontId="6" fillId="0" borderId="18" xfId="0" applyNumberFormat="1" applyFont="1" applyBorder="1"/>
    <xf numFmtId="0" fontId="9" fillId="0" borderId="25" xfId="0" applyFont="1" applyBorder="1" applyAlignment="1">
      <alignment horizontal="center"/>
    </xf>
    <xf numFmtId="0" fontId="9" fillId="0" borderId="20" xfId="0" applyFont="1" applyBorder="1" applyAlignment="1">
      <alignment horizontal="center"/>
    </xf>
    <xf numFmtId="0" fontId="3" fillId="0" borderId="18" xfId="0" applyFont="1" applyBorder="1" applyAlignment="1">
      <alignment horizontal="center"/>
    </xf>
    <xf numFmtId="0" fontId="3" fillId="0" borderId="22" xfId="0" applyFont="1" applyBorder="1" applyAlignment="1">
      <alignment horizontal="center"/>
    </xf>
    <xf numFmtId="14" fontId="0" fillId="0" borderId="15" xfId="0" applyNumberFormat="1" applyBorder="1"/>
    <xf numFmtId="0" fontId="49" fillId="0" borderId="23" xfId="0" applyFont="1" applyBorder="1" applyAlignment="1">
      <alignment horizontal="center"/>
    </xf>
    <xf numFmtId="0" fontId="49" fillId="0" borderId="24" xfId="0" applyFont="1" applyBorder="1" applyAlignment="1">
      <alignment horizontal="center"/>
    </xf>
    <xf numFmtId="14" fontId="2" fillId="0" borderId="15" xfId="0" applyNumberFormat="1" applyFont="1" applyBorder="1"/>
    <xf numFmtId="169" fontId="6" fillId="0" borderId="15" xfId="59" applyNumberFormat="1" applyFont="1" applyBorder="1" applyProtection="1"/>
    <xf numFmtId="169" fontId="6" fillId="0" borderId="0" xfId="59" applyNumberFormat="1" applyFont="1" applyBorder="1" applyProtection="1"/>
    <xf numFmtId="43" fontId="6" fillId="0" borderId="15" xfId="0" applyNumberFormat="1" applyFont="1" applyBorder="1"/>
    <xf numFmtId="43" fontId="6" fillId="0" borderId="0" xfId="1" applyFont="1" applyFill="1" applyBorder="1" applyProtection="1"/>
    <xf numFmtId="0" fontId="2" fillId="0" borderId="15" xfId="0" applyFont="1" applyBorder="1" applyAlignment="1">
      <alignment horizontal="left" vertical="center" wrapText="1"/>
    </xf>
    <xf numFmtId="164" fontId="6" fillId="0" borderId="27" xfId="0" applyNumberFormat="1" applyFont="1" applyBorder="1"/>
    <xf numFmtId="164" fontId="6" fillId="0" borderId="2" xfId="0" applyNumberFormat="1" applyFont="1" applyBorder="1"/>
    <xf numFmtId="164" fontId="6" fillId="0" borderId="28" xfId="0" applyNumberFormat="1" applyFont="1" applyBorder="1"/>
    <xf numFmtId="0" fontId="9" fillId="0" borderId="23" xfId="0" applyFont="1" applyBorder="1"/>
    <xf numFmtId="0" fontId="6" fillId="0" borderId="15" xfId="0" applyFont="1" applyBorder="1"/>
    <xf numFmtId="0" fontId="6" fillId="0" borderId="0" xfId="0" applyFont="1"/>
    <xf numFmtId="0" fontId="36" fillId="0" borderId="0" xfId="0" applyFont="1" applyAlignment="1">
      <alignment horizontal="center"/>
    </xf>
    <xf numFmtId="0" fontId="36" fillId="0" borderId="16" xfId="0" applyFont="1" applyBorder="1" applyAlignment="1">
      <alignment horizontal="center"/>
    </xf>
    <xf numFmtId="0" fontId="6" fillId="0" borderId="15" xfId="0" applyFont="1" applyBorder="1" applyAlignment="1">
      <alignment horizontal="left" indent="1"/>
    </xf>
    <xf numFmtId="43" fontId="6" fillId="0" borderId="16" xfId="0" applyNumberFormat="1" applyFont="1" applyBorder="1"/>
    <xf numFmtId="0" fontId="6" fillId="0" borderId="15" xfId="0" applyFont="1" applyBorder="1" applyAlignment="1">
      <alignment wrapText="1"/>
    </xf>
    <xf numFmtId="0" fontId="6" fillId="0" borderId="16" xfId="0" applyFont="1" applyBorder="1"/>
    <xf numFmtId="0" fontId="6" fillId="0" borderId="17" xfId="0" applyFont="1" applyBorder="1"/>
    <xf numFmtId="0" fontId="57" fillId="0" borderId="18" xfId="0" applyFont="1" applyBorder="1"/>
    <xf numFmtId="43" fontId="6" fillId="0" borderId="0" xfId="1" applyFont="1" applyBorder="1" applyProtection="1"/>
    <xf numFmtId="0" fontId="57" fillId="0" borderId="0" xfId="0" quotePrefix="1" applyFont="1" applyAlignment="1">
      <alignment horizontal="left" indent="1"/>
    </xf>
    <xf numFmtId="0" fontId="6" fillId="0" borderId="0" xfId="0" applyFont="1" applyAlignment="1">
      <alignment horizontal="center"/>
    </xf>
    <xf numFmtId="0" fontId="6" fillId="0" borderId="1" xfId="0" applyFont="1" applyBorder="1" applyAlignment="1">
      <alignment horizontal="center"/>
    </xf>
    <xf numFmtId="0" fontId="57" fillId="0" borderId="16" xfId="0" applyFont="1" applyBorder="1"/>
    <xf numFmtId="0" fontId="6" fillId="0" borderId="15" xfId="0" applyFont="1" applyBorder="1" applyAlignment="1">
      <alignment vertical="top" wrapText="1"/>
    </xf>
    <xf numFmtId="0" fontId="57" fillId="0" borderId="0" xfId="0" applyFont="1"/>
    <xf numFmtId="0" fontId="57" fillId="0" borderId="0" xfId="0" applyFont="1" applyAlignment="1">
      <alignment horizontal="left" indent="2"/>
    </xf>
    <xf numFmtId="0" fontId="44" fillId="0" borderId="4" xfId="1" applyNumberFormat="1" applyFont="1" applyFill="1" applyBorder="1" applyAlignment="1" applyProtection="1">
      <alignment horizontal="left" vertical="center"/>
    </xf>
    <xf numFmtId="0" fontId="44" fillId="0" borderId="0" xfId="1" applyNumberFormat="1" applyFont="1" applyFill="1" applyAlignment="1" applyProtection="1">
      <alignment horizontal="left" vertical="center"/>
    </xf>
    <xf numFmtId="166" fontId="42" fillId="0" borderId="16" xfId="0" applyNumberFormat="1" applyFont="1" applyBorder="1"/>
    <xf numFmtId="0" fontId="2" fillId="0" borderId="15" xfId="0" applyFont="1" applyBorder="1" applyAlignment="1">
      <alignment wrapText="1"/>
    </xf>
    <xf numFmtId="164" fontId="0" fillId="0" borderId="0" xfId="1" applyNumberFormat="1" applyFont="1" applyFill="1" applyBorder="1" applyAlignment="1" applyProtection="1">
      <alignment vertical="center"/>
    </xf>
    <xf numFmtId="164" fontId="34" fillId="0" borderId="0" xfId="1" applyNumberFormat="1" applyFont="1" applyFill="1" applyBorder="1" applyAlignment="1" applyProtection="1">
      <alignment vertical="center"/>
    </xf>
    <xf numFmtId="164" fontId="0" fillId="0" borderId="0" xfId="1" applyNumberFormat="1" applyFont="1" applyFill="1" applyAlignment="1" applyProtection="1">
      <alignment vertical="center"/>
    </xf>
    <xf numFmtId="164" fontId="2" fillId="0" borderId="15" xfId="1" applyNumberFormat="1" applyFont="1" applyFill="1" applyBorder="1" applyAlignment="1" applyProtection="1">
      <alignment vertical="center" wrapText="1"/>
    </xf>
    <xf numFmtId="0" fontId="2" fillId="0" borderId="15" xfId="0" applyFont="1" applyBorder="1" applyAlignment="1">
      <alignment vertical="center" wrapText="1"/>
    </xf>
    <xf numFmtId="169" fontId="30" fillId="0" borderId="0" xfId="59" applyNumberFormat="1" applyFont="1" applyFill="1" applyBorder="1" applyProtection="1"/>
    <xf numFmtId="164" fontId="30" fillId="0" borderId="4" xfId="1" applyNumberFormat="1" applyFont="1" applyFill="1" applyBorder="1" applyProtection="1"/>
    <xf numFmtId="164" fontId="2" fillId="0" borderId="0" xfId="1" applyNumberFormat="1" applyFont="1" applyBorder="1" applyProtection="1"/>
    <xf numFmtId="164" fontId="2" fillId="0" borderId="0" xfId="0" applyNumberFormat="1" applyFont="1" applyAlignment="1">
      <alignment horizontal="right"/>
    </xf>
    <xf numFmtId="0" fontId="58" fillId="0" borderId="0" xfId="0" applyFont="1"/>
    <xf numFmtId="0" fontId="59" fillId="0" borderId="0" xfId="0" applyFont="1"/>
    <xf numFmtId="164" fontId="6" fillId="0" borderId="0" xfId="1" applyNumberFormat="1" applyFont="1" applyFill="1" applyBorder="1" applyAlignment="1" applyProtection="1">
      <alignment horizontal="center"/>
    </xf>
    <xf numFmtId="166" fontId="13" fillId="0" borderId="0" xfId="19" applyNumberFormat="1" applyFont="1" applyFill="1" applyBorder="1" applyAlignment="1" applyProtection="1">
      <alignment horizontal="right"/>
    </xf>
    <xf numFmtId="166" fontId="13" fillId="0" borderId="2" xfId="19" applyNumberFormat="1" applyFont="1" applyFill="1" applyBorder="1" applyAlignment="1" applyProtection="1">
      <alignment horizontal="right"/>
    </xf>
    <xf numFmtId="166" fontId="13" fillId="0" borderId="0" xfId="1" applyNumberFormat="1" applyFont="1" applyFill="1" applyBorder="1" applyAlignment="1" applyProtection="1">
      <alignment horizontal="right"/>
    </xf>
    <xf numFmtId="41" fontId="13" fillId="0" borderId="0" xfId="1" applyNumberFormat="1" applyFont="1" applyFill="1" applyBorder="1" applyAlignment="1" applyProtection="1">
      <alignment horizontal="right"/>
    </xf>
    <xf numFmtId="41" fontId="3" fillId="0" borderId="0" xfId="19" applyNumberFormat="1" applyFont="1" applyFill="1" applyBorder="1" applyAlignment="1" applyProtection="1">
      <alignment horizontal="center"/>
    </xf>
    <xf numFmtId="0" fontId="63" fillId="0" borderId="0" xfId="0" applyFont="1" applyAlignment="1">
      <alignment horizontal="center"/>
    </xf>
    <xf numFmtId="164" fontId="63" fillId="0" borderId="0" xfId="0" applyNumberFormat="1" applyFont="1" applyAlignment="1">
      <alignment horizontal="center"/>
    </xf>
    <xf numFmtId="164" fontId="46" fillId="0" borderId="0" xfId="0" applyNumberFormat="1" applyFont="1" applyAlignment="1">
      <alignment horizontal="center" wrapText="1"/>
    </xf>
    <xf numFmtId="164" fontId="56" fillId="0" borderId="0" xfId="0" applyNumberFormat="1" applyFont="1" applyAlignment="1">
      <alignment horizontal="center"/>
    </xf>
    <xf numFmtId="164" fontId="46" fillId="0" borderId="0" xfId="0" applyNumberFormat="1" applyFont="1" applyAlignment="1">
      <alignment horizontal="center"/>
    </xf>
    <xf numFmtId="0" fontId="64" fillId="0" borderId="16" xfId="0" applyFont="1" applyBorder="1"/>
    <xf numFmtId="164" fontId="65" fillId="0" borderId="19" xfId="13" applyNumberFormat="1" applyFont="1" applyFill="1" applyBorder="1" applyProtection="1"/>
    <xf numFmtId="0" fontId="66" fillId="0" borderId="16" xfId="0" applyFont="1" applyBorder="1"/>
    <xf numFmtId="0" fontId="66" fillId="0" borderId="18" xfId="0" applyFont="1" applyBorder="1"/>
    <xf numFmtId="0" fontId="20" fillId="0" borderId="0" xfId="0" applyFont="1" applyAlignment="1">
      <alignment horizontal="center" wrapText="1"/>
    </xf>
    <xf numFmtId="0" fontId="38" fillId="0" borderId="0" xfId="0" applyFont="1" applyAlignment="1">
      <alignment wrapText="1"/>
    </xf>
    <xf numFmtId="0" fontId="38" fillId="0" borderId="19" xfId="0" applyFont="1" applyBorder="1" applyAlignment="1" applyProtection="1">
      <alignment horizontal="center" vertical="center"/>
      <protection locked="0"/>
    </xf>
    <xf numFmtId="0" fontId="0" fillId="0" borderId="0" xfId="0" quotePrefix="1" applyAlignment="1">
      <alignment vertical="top" wrapText="1"/>
    </xf>
    <xf numFmtId="164" fontId="67" fillId="0" borderId="4" xfId="0" applyNumberFormat="1" applyFont="1" applyBorder="1"/>
    <xf numFmtId="164" fontId="9" fillId="0" borderId="2" xfId="1" applyNumberFormat="1" applyFont="1" applyBorder="1" applyProtection="1"/>
    <xf numFmtId="164" fontId="0" fillId="0" borderId="2" xfId="1" applyNumberFormat="1" applyFont="1" applyBorder="1" applyProtection="1"/>
    <xf numFmtId="0" fontId="7" fillId="0" borderId="0" xfId="54" applyFont="1"/>
    <xf numFmtId="0" fontId="43" fillId="0" borderId="0" xfId="54" applyFont="1"/>
    <xf numFmtId="0" fontId="14" fillId="0" borderId="0" xfId="54" applyFont="1"/>
    <xf numFmtId="41" fontId="4" fillId="0" borderId="0" xfId="54" applyNumberFormat="1" applyFont="1" applyAlignment="1">
      <alignment horizontal="center"/>
    </xf>
    <xf numFmtId="41" fontId="14" fillId="0" borderId="0" xfId="54" applyNumberFormat="1" applyFont="1" applyAlignment="1">
      <alignment horizontal="center"/>
    </xf>
    <xf numFmtId="0" fontId="14" fillId="0" borderId="0" xfId="54" applyFont="1" applyAlignment="1">
      <alignment horizontal="left" indent="1"/>
    </xf>
    <xf numFmtId="0" fontId="14" fillId="0" borderId="0" xfId="54" applyFont="1" applyAlignment="1">
      <alignment horizontal="left"/>
    </xf>
    <xf numFmtId="41" fontId="14" fillId="0" borderId="0" xfId="54" applyNumberFormat="1" applyFont="1"/>
    <xf numFmtId="0" fontId="11" fillId="0" borderId="0" xfId="54" applyFont="1"/>
    <xf numFmtId="0" fontId="11" fillId="0" borderId="0" xfId="54" applyFont="1" applyAlignment="1">
      <alignment horizontal="left"/>
    </xf>
    <xf numFmtId="41" fontId="11" fillId="0" borderId="0" xfId="54" applyNumberFormat="1" applyFont="1" applyAlignment="1">
      <alignment horizontal="center"/>
    </xf>
    <xf numFmtId="41" fontId="4" fillId="0" borderId="0" xfId="54" applyNumberFormat="1" applyFont="1" applyAlignment="1">
      <alignment horizontal="centerContinuous"/>
    </xf>
    <xf numFmtId="41" fontId="11" fillId="0" borderId="4" xfId="54" applyNumberFormat="1" applyFont="1" applyBorder="1" applyAlignment="1">
      <alignment horizontal="center"/>
    </xf>
    <xf numFmtId="164" fontId="14" fillId="0" borderId="0" xfId="54" applyNumberFormat="1" applyFont="1"/>
    <xf numFmtId="0" fontId="14" fillId="0" borderId="0" xfId="54" applyFont="1" applyAlignment="1">
      <alignment horizontal="right"/>
    </xf>
    <xf numFmtId="41" fontId="4" fillId="0" borderId="0" xfId="54" applyNumberFormat="1" applyFont="1" applyAlignment="1">
      <alignment horizontal="right"/>
    </xf>
    <xf numFmtId="0" fontId="2" fillId="0" borderId="23" xfId="54" applyBorder="1"/>
    <xf numFmtId="0" fontId="2" fillId="0" borderId="24" xfId="54" applyBorder="1"/>
    <xf numFmtId="0" fontId="2" fillId="0" borderId="25" xfId="54" applyBorder="1"/>
    <xf numFmtId="0" fontId="2" fillId="0" borderId="15" xfId="54" applyBorder="1"/>
    <xf numFmtId="0" fontId="2" fillId="0" borderId="16" xfId="54" applyBorder="1"/>
    <xf numFmtId="0" fontId="11" fillId="0" borderId="0" xfId="54" applyFont="1" applyAlignment="1">
      <alignment horizontal="right"/>
    </xf>
    <xf numFmtId="42" fontId="4" fillId="0" borderId="0" xfId="54" applyNumberFormat="1" applyFont="1"/>
    <xf numFmtId="0" fontId="2" fillId="0" borderId="17" xfId="54" applyBorder="1"/>
    <xf numFmtId="0" fontId="2" fillId="0" borderId="4" xfId="54" applyBorder="1"/>
    <xf numFmtId="0" fontId="2" fillId="0" borderId="18" xfId="54" applyBorder="1"/>
    <xf numFmtId="0" fontId="2" fillId="0" borderId="0" xfId="54" applyAlignment="1">
      <alignment horizontal="center"/>
    </xf>
    <xf numFmtId="0" fontId="2" fillId="0" borderId="1" xfId="54" applyBorder="1" applyAlignment="1">
      <alignment horizontal="center"/>
    </xf>
    <xf numFmtId="10" fontId="11" fillId="0" borderId="4" xfId="54" quotePrefix="1" applyNumberFormat="1" applyFont="1" applyBorder="1" applyAlignment="1">
      <alignment horizontal="center"/>
    </xf>
    <xf numFmtId="10" fontId="11" fillId="0" borderId="4" xfId="54" applyNumberFormat="1" applyFont="1" applyBorder="1" applyAlignment="1">
      <alignment horizontal="center"/>
    </xf>
    <xf numFmtId="0" fontId="14" fillId="0" borderId="4" xfId="54" applyFont="1" applyBorder="1" applyAlignment="1">
      <alignment horizontal="left" indent="1"/>
    </xf>
    <xf numFmtId="41" fontId="4" fillId="0" borderId="4" xfId="54" applyNumberFormat="1" applyFont="1" applyBorder="1" applyAlignment="1">
      <alignment horizontal="right"/>
    </xf>
    <xf numFmtId="42" fontId="4" fillId="0" borderId="2" xfId="54" applyNumberFormat="1" applyFont="1" applyBorder="1"/>
    <xf numFmtId="42" fontId="14" fillId="0" borderId="0" xfId="54" applyNumberFormat="1" applyFont="1"/>
    <xf numFmtId="0" fontId="64" fillId="0" borderId="0" xfId="0" applyFont="1"/>
    <xf numFmtId="164" fontId="44" fillId="0" borderId="0" xfId="0" applyNumberFormat="1" applyFont="1"/>
    <xf numFmtId="164" fontId="47" fillId="0" borderId="0" xfId="0" applyNumberFormat="1" applyFont="1" applyAlignment="1">
      <alignment horizontal="center" wrapText="1"/>
    </xf>
    <xf numFmtId="164" fontId="46" fillId="0" borderId="0" xfId="1" applyNumberFormat="1" applyFont="1" applyFill="1" applyBorder="1" applyAlignment="1" applyProtection="1">
      <alignment horizontal="center" wrapText="1"/>
    </xf>
    <xf numFmtId="164" fontId="47" fillId="0" borderId="0" xfId="1" applyNumberFormat="1" applyFont="1" applyFill="1" applyBorder="1" applyAlignment="1" applyProtection="1">
      <alignment horizontal="center" wrapText="1"/>
    </xf>
    <xf numFmtId="169" fontId="6" fillId="0" borderId="16" xfId="59" applyNumberFormat="1" applyFont="1" applyFill="1" applyBorder="1" applyProtection="1"/>
    <xf numFmtId="43" fontId="6" fillId="0" borderId="0" xfId="0" applyNumberFormat="1" applyFont="1"/>
    <xf numFmtId="164" fontId="46" fillId="0" borderId="0" xfId="1" applyNumberFormat="1" applyFont="1" applyFill="1" applyBorder="1" applyAlignment="1" applyProtection="1">
      <alignment horizontal="center" wrapText="1"/>
      <protection locked="0"/>
    </xf>
    <xf numFmtId="170" fontId="0" fillId="0" borderId="0" xfId="59" applyNumberFormat="1" applyFont="1" applyFill="1" applyProtection="1"/>
    <xf numFmtId="164" fontId="0" fillId="0" borderId="0" xfId="1" applyNumberFormat="1" applyFont="1"/>
    <xf numFmtId="43" fontId="14" fillId="0" borderId="0" xfId="1" applyFont="1" applyFill="1" applyProtection="1"/>
    <xf numFmtId="42" fontId="14" fillId="0" borderId="0" xfId="54" applyNumberFormat="1" applyFont="1" applyAlignment="1">
      <alignment horizontal="left" indent="1"/>
    </xf>
    <xf numFmtId="164" fontId="3" fillId="0" borderId="0" xfId="0" applyNumberFormat="1" applyFont="1"/>
    <xf numFmtId="169" fontId="0" fillId="0" borderId="0" xfId="59" applyNumberFormat="1" applyFont="1" applyBorder="1" applyProtection="1"/>
    <xf numFmtId="169" fontId="0" fillId="0" borderId="0" xfId="1" applyNumberFormat="1" applyFont="1" applyBorder="1" applyProtection="1"/>
    <xf numFmtId="0" fontId="47" fillId="0" borderId="18" xfId="0" applyFont="1" applyBorder="1" applyAlignment="1">
      <alignment horizontal="center" wrapText="1"/>
    </xf>
    <xf numFmtId="169" fontId="46" fillId="2" borderId="16" xfId="59" applyNumberFormat="1" applyFont="1" applyFill="1" applyBorder="1" applyAlignment="1" applyProtection="1">
      <alignment horizontal="center" wrapText="1"/>
      <protection locked="0"/>
    </xf>
    <xf numFmtId="169" fontId="6" fillId="2" borderId="0" xfId="59" applyNumberFormat="1" applyFont="1" applyFill="1" applyBorder="1" applyProtection="1"/>
    <xf numFmtId="0" fontId="43" fillId="0" borderId="0" xfId="54" applyFont="1" applyAlignment="1">
      <alignment wrapText="1"/>
    </xf>
    <xf numFmtId="0" fontId="18" fillId="0" borderId="0" xfId="58" quotePrefix="1" applyFont="1" applyAlignment="1">
      <alignment horizontal="center"/>
    </xf>
    <xf numFmtId="164" fontId="0" fillId="0" borderId="24" xfId="1" applyNumberFormat="1" applyFont="1" applyBorder="1" applyProtection="1"/>
    <xf numFmtId="164" fontId="0" fillId="0" borderId="25" xfId="1" applyNumberFormat="1" applyFont="1" applyBorder="1" applyProtection="1"/>
    <xf numFmtId="0" fontId="0" fillId="0" borderId="15" xfId="0" applyBorder="1" applyAlignment="1">
      <alignment horizontal="left" indent="1"/>
    </xf>
    <xf numFmtId="0" fontId="19" fillId="0" borderId="16" xfId="0" applyFont="1" applyBorder="1" applyAlignment="1">
      <alignment horizontal="left" wrapText="1"/>
    </xf>
    <xf numFmtId="164" fontId="0" fillId="0" borderId="16" xfId="1" applyNumberFormat="1" applyFont="1" applyBorder="1" applyProtection="1"/>
    <xf numFmtId="0" fontId="18" fillId="0" borderId="16" xfId="58" quotePrefix="1" applyFont="1" applyBorder="1" applyAlignment="1">
      <alignment horizontal="center"/>
    </xf>
    <xf numFmtId="0" fontId="18" fillId="0" borderId="17" xfId="58" quotePrefix="1" applyFont="1" applyBorder="1" applyAlignment="1">
      <alignment horizontal="center"/>
    </xf>
    <xf numFmtId="164" fontId="0" fillId="0" borderId="18" xfId="1" applyNumberFormat="1" applyFont="1" applyBorder="1" applyProtection="1"/>
    <xf numFmtId="169" fontId="0" fillId="0" borderId="0" xfId="59" applyNumberFormat="1" applyFont="1" applyFill="1" applyBorder="1" applyProtection="1"/>
    <xf numFmtId="164" fontId="54" fillId="0" borderId="4" xfId="1" applyNumberFormat="1" applyFont="1" applyBorder="1" applyAlignment="1" applyProtection="1">
      <alignment horizontal="center" wrapText="1"/>
    </xf>
    <xf numFmtId="164" fontId="47" fillId="0" borderId="0" xfId="1" applyNumberFormat="1" applyFont="1" applyBorder="1" applyAlignment="1" applyProtection="1">
      <alignment horizontal="center" wrapText="1"/>
    </xf>
    <xf numFmtId="164" fontId="46" fillId="0" borderId="0" xfId="1" applyNumberFormat="1" applyFont="1" applyBorder="1" applyAlignment="1" applyProtection="1">
      <alignment horizontal="center" wrapText="1"/>
    </xf>
    <xf numFmtId="164" fontId="0" fillId="0" borderId="0" xfId="1" applyNumberFormat="1" applyFont="1" applyFill="1" applyBorder="1" applyProtection="1"/>
    <xf numFmtId="0" fontId="5" fillId="0" borderId="0" xfId="54" applyFont="1"/>
    <xf numFmtId="164" fontId="3" fillId="2" borderId="0" xfId="1" applyNumberFormat="1" applyFont="1" applyFill="1" applyBorder="1" applyProtection="1">
      <protection locked="0"/>
    </xf>
    <xf numFmtId="169" fontId="3" fillId="2" borderId="0" xfId="59" quotePrefix="1" applyNumberFormat="1" applyFont="1" applyFill="1" applyProtection="1">
      <protection locked="0"/>
    </xf>
    <xf numFmtId="164" fontId="3" fillId="3" borderId="0" xfId="1" applyNumberFormat="1" applyFont="1" applyFill="1" applyBorder="1" applyAlignment="1" applyProtection="1">
      <alignment horizontal="left"/>
      <protection locked="0"/>
    </xf>
    <xf numFmtId="169" fontId="6" fillId="0" borderId="0" xfId="59" applyNumberFormat="1" applyFont="1" applyFill="1" applyBorder="1" applyProtection="1"/>
    <xf numFmtId="0" fontId="9" fillId="0" borderId="0" xfId="0" applyFont="1" applyAlignment="1">
      <alignment horizontal="left"/>
    </xf>
    <xf numFmtId="0" fontId="9" fillId="0" borderId="0" xfId="0" applyFont="1" applyAlignment="1">
      <alignment horizontal="right"/>
    </xf>
    <xf numFmtId="0" fontId="0" fillId="0" borderId="0" xfId="0" applyAlignment="1">
      <alignment vertical="top" wrapText="1"/>
    </xf>
    <xf numFmtId="166" fontId="3" fillId="0" borderId="0" xfId="19" applyNumberFormat="1" applyFont="1" applyFill="1" applyBorder="1" applyProtection="1">
      <protection locked="0"/>
    </xf>
    <xf numFmtId="164" fontId="3" fillId="0" borderId="0" xfId="1" applyNumberFormat="1" applyFont="1" applyFill="1" applyBorder="1" applyProtection="1">
      <protection locked="0"/>
    </xf>
    <xf numFmtId="37" fontId="70" fillId="0" borderId="0" xfId="54" applyNumberFormat="1" applyFont="1"/>
    <xf numFmtId="37" fontId="69" fillId="0" borderId="0" xfId="54" applyNumberFormat="1" applyFont="1"/>
    <xf numFmtId="43" fontId="46" fillId="0" borderId="0" xfId="1" applyFont="1" applyBorder="1" applyAlignment="1" applyProtection="1">
      <alignment horizontal="center" wrapText="1"/>
    </xf>
    <xf numFmtId="164" fontId="0" fillId="0" borderId="0" xfId="1" applyNumberFormat="1" applyFont="1" applyBorder="1" applyAlignment="1" applyProtection="1">
      <alignment horizontal="center"/>
    </xf>
    <xf numFmtId="164" fontId="0" fillId="0" borderId="4" xfId="1" applyNumberFormat="1" applyFont="1" applyBorder="1" applyAlignment="1" applyProtection="1">
      <alignment horizontal="center"/>
    </xf>
    <xf numFmtId="169" fontId="0" fillId="0" borderId="0" xfId="59" applyNumberFormat="1" applyFont="1" applyProtection="1"/>
    <xf numFmtId="169" fontId="55" fillId="0" borderId="4" xfId="59" applyNumberFormat="1" applyFont="1" applyBorder="1" applyAlignment="1" applyProtection="1">
      <alignment horizontal="center" wrapText="1"/>
    </xf>
    <xf numFmtId="169" fontId="47" fillId="0" borderId="0" xfId="59" applyNumberFormat="1" applyFont="1" applyBorder="1" applyAlignment="1" applyProtection="1">
      <alignment horizontal="center" wrapText="1"/>
    </xf>
    <xf numFmtId="169" fontId="0" fillId="0" borderId="4" xfId="59" applyNumberFormat="1" applyFont="1" applyBorder="1" applyProtection="1"/>
    <xf numFmtId="171" fontId="0" fillId="0" borderId="0" xfId="1" applyNumberFormat="1" applyFont="1" applyFill="1" applyBorder="1" applyProtection="1"/>
    <xf numFmtId="164" fontId="0" fillId="0" borderId="16" xfId="0" applyNumberFormat="1" applyBorder="1"/>
    <xf numFmtId="169" fontId="30" fillId="0" borderId="18" xfId="59" applyNumberFormat="1" applyFont="1" applyFill="1" applyBorder="1" applyProtection="1"/>
    <xf numFmtId="169" fontId="30" fillId="0" borderId="16" xfId="59" applyNumberFormat="1" applyFont="1" applyFill="1" applyBorder="1" applyProtection="1"/>
    <xf numFmtId="164" fontId="0" fillId="0" borderId="18" xfId="0" applyNumberFormat="1" applyBorder="1"/>
    <xf numFmtId="169" fontId="3" fillId="2" borderId="0" xfId="59" applyNumberFormat="1" applyFont="1" applyFill="1" applyBorder="1" applyProtection="1">
      <protection locked="0"/>
    </xf>
    <xf numFmtId="169" fontId="0" fillId="0" borderId="1" xfId="59" applyNumberFormat="1" applyFont="1" applyBorder="1" applyProtection="1"/>
    <xf numFmtId="169" fontId="6" fillId="0" borderId="0" xfId="59" applyNumberFormat="1" applyFont="1" applyFill="1" applyProtection="1">
      <protection locked="0"/>
    </xf>
    <xf numFmtId="42" fontId="2" fillId="0" borderId="0" xfId="54" applyNumberFormat="1"/>
    <xf numFmtId="0" fontId="43" fillId="0" borderId="0" xfId="54" applyFont="1" applyAlignment="1">
      <alignment vertical="top"/>
    </xf>
    <xf numFmtId="169" fontId="3" fillId="0" borderId="0" xfId="59" applyNumberFormat="1" applyFont="1" applyFill="1" applyBorder="1" applyProtection="1">
      <protection locked="0"/>
    </xf>
    <xf numFmtId="164" fontId="54" fillId="0" borderId="0" xfId="1" applyNumberFormat="1" applyFont="1" applyBorder="1" applyAlignment="1" applyProtection="1">
      <alignment horizontal="center" wrapText="1"/>
    </xf>
    <xf numFmtId="164" fontId="6" fillId="0" borderId="33" xfId="0" applyNumberFormat="1" applyFont="1" applyBorder="1"/>
    <xf numFmtId="164" fontId="6" fillId="0" borderId="34" xfId="0" applyNumberFormat="1" applyFont="1" applyBorder="1"/>
    <xf numFmtId="164" fontId="6" fillId="0" borderId="35" xfId="0" applyNumberFormat="1" applyFont="1" applyBorder="1"/>
    <xf numFmtId="169" fontId="0" fillId="0" borderId="0" xfId="59" applyNumberFormat="1" applyFont="1" applyFill="1" applyProtection="1">
      <protection locked="0"/>
    </xf>
    <xf numFmtId="169" fontId="6" fillId="0" borderId="15" xfId="59" applyNumberFormat="1" applyFont="1" applyFill="1" applyBorder="1" applyProtection="1"/>
    <xf numFmtId="169" fontId="0" fillId="0" borderId="0" xfId="59" applyNumberFormat="1" applyFont="1" applyFill="1" applyAlignment="1" applyProtection="1">
      <alignment horizontal="center"/>
    </xf>
    <xf numFmtId="0" fontId="53" fillId="0" borderId="16" xfId="0" applyFont="1" applyBorder="1" applyAlignment="1">
      <alignment horizontal="center"/>
    </xf>
    <xf numFmtId="0" fontId="53" fillId="0" borderId="24" xfId="0" applyFont="1" applyBorder="1" applyAlignment="1">
      <alignment horizontal="center"/>
    </xf>
    <xf numFmtId="0" fontId="53" fillId="0" borderId="25" xfId="0" applyFont="1" applyBorder="1" applyAlignment="1">
      <alignment horizontal="center"/>
    </xf>
    <xf numFmtId="0" fontId="71" fillId="0" borderId="0" xfId="0" applyFont="1" applyAlignment="1">
      <alignment wrapText="1"/>
    </xf>
    <xf numFmtId="164" fontId="71" fillId="0" borderId="0" xfId="0" applyNumberFormat="1" applyFont="1"/>
    <xf numFmtId="169" fontId="0" fillId="0" borderId="0" xfId="0" applyNumberFormat="1"/>
    <xf numFmtId="169" fontId="6" fillId="2" borderId="0" xfId="59" applyNumberFormat="1" applyFont="1" applyFill="1" applyProtection="1">
      <protection locked="0"/>
    </xf>
    <xf numFmtId="0" fontId="57" fillId="0" borderId="0" xfId="0" applyFont="1" applyAlignment="1">
      <alignment horizontal="center" wrapText="1"/>
    </xf>
    <xf numFmtId="0" fontId="9" fillId="0" borderId="21" xfId="0" applyFont="1" applyBorder="1" applyAlignment="1">
      <alignment horizontal="center"/>
    </xf>
    <xf numFmtId="169" fontId="46" fillId="0" borderId="16" xfId="59" applyNumberFormat="1" applyFont="1" applyFill="1" applyBorder="1" applyAlignment="1" applyProtection="1">
      <alignment horizontal="center" wrapText="1"/>
    </xf>
    <xf numFmtId="169" fontId="46" fillId="0" borderId="0" xfId="59" applyNumberFormat="1" applyFont="1" applyFill="1" applyBorder="1" applyAlignment="1" applyProtection="1">
      <alignment horizontal="center" wrapText="1"/>
    </xf>
    <xf numFmtId="169" fontId="47" fillId="0" borderId="18" xfId="59" applyNumberFormat="1" applyFont="1" applyFill="1" applyBorder="1" applyAlignment="1" applyProtection="1">
      <alignment horizontal="center" wrapText="1"/>
    </xf>
    <xf numFmtId="169" fontId="47" fillId="0" borderId="0" xfId="59" applyNumberFormat="1" applyFont="1" applyFill="1" applyBorder="1" applyAlignment="1" applyProtection="1">
      <alignment horizontal="center" wrapText="1"/>
    </xf>
    <xf numFmtId="169" fontId="46" fillId="0" borderId="0" xfId="59" applyNumberFormat="1" applyFont="1" applyFill="1" applyBorder="1" applyAlignment="1" applyProtection="1">
      <alignment horizontal="center" wrapText="1"/>
      <protection locked="0"/>
    </xf>
    <xf numFmtId="9" fontId="46" fillId="0" borderId="0" xfId="59" applyFont="1" applyFill="1" applyBorder="1" applyAlignment="1" applyProtection="1">
      <alignment horizontal="center" wrapText="1"/>
    </xf>
    <xf numFmtId="10" fontId="46" fillId="0" borderId="0" xfId="59" applyNumberFormat="1" applyFont="1" applyFill="1" applyBorder="1" applyAlignment="1" applyProtection="1">
      <alignment horizontal="right" wrapText="1"/>
    </xf>
    <xf numFmtId="43" fontId="46" fillId="0" borderId="0" xfId="1" applyFont="1" applyFill="1" applyBorder="1" applyAlignment="1" applyProtection="1">
      <alignment horizontal="center" wrapText="1"/>
    </xf>
    <xf numFmtId="166" fontId="0" fillId="0" borderId="2" xfId="0" applyNumberFormat="1" applyBorder="1"/>
    <xf numFmtId="164" fontId="42" fillId="0" borderId="0" xfId="1" applyNumberFormat="1" applyFont="1" applyFill="1" applyBorder="1" applyProtection="1"/>
    <xf numFmtId="0" fontId="9" fillId="0" borderId="15" xfId="0" applyFont="1" applyBorder="1" applyAlignment="1">
      <alignment wrapText="1"/>
    </xf>
    <xf numFmtId="166" fontId="9" fillId="0" borderId="0" xfId="0" applyNumberFormat="1" applyFont="1" applyAlignment="1">
      <alignment vertical="center"/>
    </xf>
    <xf numFmtId="166" fontId="9" fillId="0" borderId="0" xfId="0" applyNumberFormat="1" applyFont="1" applyAlignment="1">
      <alignment horizontal="center" vertical="center"/>
    </xf>
    <xf numFmtId="164" fontId="6" fillId="0" borderId="0" xfId="1" applyNumberFormat="1" applyFont="1" applyFill="1" applyBorder="1" applyProtection="1"/>
    <xf numFmtId="41" fontId="2" fillId="0" borderId="0" xfId="54" applyNumberFormat="1"/>
    <xf numFmtId="0" fontId="47" fillId="0" borderId="16" xfId="0" applyFont="1" applyBorder="1" applyAlignment="1">
      <alignment horizontal="center" wrapText="1"/>
    </xf>
    <xf numFmtId="169" fontId="46" fillId="0" borderId="16" xfId="59" applyNumberFormat="1" applyFont="1" applyFill="1" applyBorder="1" applyAlignment="1" applyProtection="1">
      <alignment horizontal="center" wrapText="1"/>
      <protection locked="0"/>
    </xf>
    <xf numFmtId="9" fontId="46" fillId="0" borderId="16" xfId="59" applyFont="1" applyFill="1" applyBorder="1" applyAlignment="1" applyProtection="1">
      <alignment horizontal="center" wrapText="1"/>
    </xf>
    <xf numFmtId="166" fontId="2" fillId="0" borderId="4" xfId="0" applyNumberFormat="1" applyFont="1" applyBorder="1"/>
    <xf numFmtId="164" fontId="71" fillId="6" borderId="0" xfId="1" applyNumberFormat="1" applyFont="1" applyFill="1"/>
    <xf numFmtId="169" fontId="71" fillId="6" borderId="0" xfId="59" applyNumberFormat="1" applyFont="1" applyFill="1"/>
    <xf numFmtId="164" fontId="71" fillId="6" borderId="1" xfId="1" applyNumberFormat="1" applyFont="1" applyFill="1" applyBorder="1"/>
    <xf numFmtId="164" fontId="71" fillId="6" borderId="0" xfId="0" applyNumberFormat="1" applyFont="1" applyFill="1"/>
    <xf numFmtId="169" fontId="71" fillId="6" borderId="1" xfId="59" applyNumberFormat="1" applyFont="1" applyFill="1" applyBorder="1"/>
    <xf numFmtId="0" fontId="2" fillId="7" borderId="0" xfId="0" applyFont="1" applyFill="1"/>
    <xf numFmtId="164" fontId="6" fillId="0" borderId="36" xfId="0" applyNumberFormat="1" applyFont="1" applyBorder="1"/>
    <xf numFmtId="164" fontId="6" fillId="0" borderId="6" xfId="0" applyNumberFormat="1" applyFont="1" applyBorder="1"/>
    <xf numFmtId="169" fontId="6" fillId="2" borderId="16" xfId="59" applyNumberFormat="1" applyFont="1" applyFill="1" applyBorder="1" applyProtection="1">
      <protection locked="0"/>
    </xf>
    <xf numFmtId="0" fontId="0" fillId="7" borderId="0" xfId="0" applyFill="1"/>
    <xf numFmtId="41" fontId="72" fillId="0" borderId="0" xfId="54" applyNumberFormat="1" applyFont="1"/>
    <xf numFmtId="0" fontId="72" fillId="0" borderId="0" xfId="54" applyFont="1"/>
    <xf numFmtId="0" fontId="73" fillId="0" borderId="0" xfId="54" applyFont="1"/>
    <xf numFmtId="164" fontId="53" fillId="0" borderId="0" xfId="0" applyNumberFormat="1" applyFont="1" applyAlignment="1">
      <alignment horizontal="center"/>
    </xf>
    <xf numFmtId="164" fontId="47" fillId="0" borderId="4" xfId="1" applyNumberFormat="1" applyFont="1" applyFill="1" applyBorder="1" applyAlignment="1" applyProtection="1">
      <alignment horizontal="center" wrapText="1"/>
    </xf>
    <xf numFmtId="0" fontId="63" fillId="0" borderId="4" xfId="0" applyFont="1" applyBorder="1" applyAlignment="1">
      <alignment horizontal="center"/>
    </xf>
    <xf numFmtId="0" fontId="64" fillId="0" borderId="18" xfId="0" applyFont="1" applyBorder="1"/>
    <xf numFmtId="10" fontId="46" fillId="0" borderId="16" xfId="59" applyNumberFormat="1" applyFont="1" applyFill="1" applyBorder="1" applyAlignment="1" applyProtection="1">
      <alignment horizontal="right" wrapText="1"/>
    </xf>
    <xf numFmtId="43" fontId="46" fillId="0" borderId="16" xfId="1" applyFont="1" applyFill="1" applyBorder="1" applyAlignment="1" applyProtection="1">
      <alignment horizontal="center" wrapText="1"/>
    </xf>
    <xf numFmtId="164" fontId="46" fillId="0" borderId="16" xfId="1" applyNumberFormat="1" applyFont="1" applyFill="1" applyBorder="1" applyAlignment="1" applyProtection="1">
      <alignment horizontal="center" wrapText="1"/>
    </xf>
    <xf numFmtId="169" fontId="47" fillId="0" borderId="4" xfId="59" applyNumberFormat="1" applyFont="1" applyFill="1" applyBorder="1" applyAlignment="1" applyProtection="1">
      <alignment horizontal="center" wrapText="1"/>
    </xf>
    <xf numFmtId="164" fontId="2" fillId="0" borderId="0" xfId="1" applyNumberFormat="1" applyFont="1" applyFill="1" applyProtection="1"/>
    <xf numFmtId="0" fontId="65" fillId="0" borderId="31" xfId="0" applyFont="1" applyBorder="1" applyAlignment="1">
      <alignment horizontal="center" wrapText="1"/>
    </xf>
    <xf numFmtId="0" fontId="65" fillId="0" borderId="32" xfId="0" applyFont="1" applyBorder="1" applyAlignment="1">
      <alignment horizontal="center" wrapText="1"/>
    </xf>
    <xf numFmtId="0" fontId="16" fillId="0" borderId="0" xfId="57" applyFont="1" applyAlignment="1">
      <alignment horizontal="center"/>
    </xf>
    <xf numFmtId="0" fontId="22" fillId="0" borderId="0" xfId="57" applyFont="1" applyAlignment="1">
      <alignment horizontal="center"/>
    </xf>
    <xf numFmtId="0" fontId="20" fillId="0" borderId="0" xfId="0" applyFont="1" applyAlignment="1">
      <alignment horizontal="center" wrapText="1"/>
    </xf>
    <xf numFmtId="0" fontId="0" fillId="0" borderId="0" xfId="0" quotePrefix="1" applyAlignment="1">
      <alignment horizontal="left" vertical="top" wrapText="1"/>
    </xf>
    <xf numFmtId="0" fontId="52" fillId="5" borderId="29" xfId="0" applyFont="1" applyFill="1" applyBorder="1" applyAlignment="1">
      <alignment horizontal="center"/>
    </xf>
    <xf numFmtId="0" fontId="52" fillId="5" borderId="30" xfId="0" applyFont="1" applyFill="1" applyBorder="1" applyAlignment="1">
      <alignment horizontal="center"/>
    </xf>
    <xf numFmtId="0" fontId="52" fillId="5" borderId="26" xfId="0" applyFont="1" applyFill="1" applyBorder="1" applyAlignment="1">
      <alignment horizontal="center"/>
    </xf>
    <xf numFmtId="0" fontId="60" fillId="5" borderId="29" xfId="0" applyFont="1" applyFill="1" applyBorder="1" applyAlignment="1">
      <alignment horizontal="center" wrapText="1"/>
    </xf>
    <xf numFmtId="0" fontId="60" fillId="5" borderId="30" xfId="0" applyFont="1" applyFill="1" applyBorder="1" applyAlignment="1">
      <alignment horizontal="center" wrapText="1"/>
    </xf>
    <xf numFmtId="0" fontId="60" fillId="5" borderId="26" xfId="0" applyFont="1" applyFill="1" applyBorder="1" applyAlignment="1">
      <alignment horizontal="center" wrapText="1"/>
    </xf>
    <xf numFmtId="0" fontId="43" fillId="0" borderId="0" xfId="0" applyFont="1" applyAlignment="1">
      <alignment vertical="top" wrapText="1"/>
    </xf>
    <xf numFmtId="166" fontId="46" fillId="0" borderId="15" xfId="0" applyNumberFormat="1" applyFont="1" applyBorder="1" applyAlignment="1">
      <alignment horizontal="left" vertical="center" wrapText="1"/>
    </xf>
    <xf numFmtId="166" fontId="46" fillId="0" borderId="0" xfId="0" applyNumberFormat="1" applyFont="1" applyAlignment="1">
      <alignment horizontal="left" vertical="center" wrapText="1"/>
    </xf>
    <xf numFmtId="0" fontId="53" fillId="0" borderId="15" xfId="0" applyFont="1" applyBorder="1" applyAlignment="1">
      <alignment horizontal="center"/>
    </xf>
    <xf numFmtId="0" fontId="53" fillId="0" borderId="0" xfId="0" applyFont="1" applyAlignment="1">
      <alignment horizontal="center"/>
    </xf>
    <xf numFmtId="0" fontId="53" fillId="0" borderId="16" xfId="0" applyFont="1" applyBorder="1" applyAlignment="1">
      <alignment horizontal="center"/>
    </xf>
    <xf numFmtId="0" fontId="53" fillId="0" borderId="23" xfId="0" applyFont="1" applyBorder="1" applyAlignment="1">
      <alignment horizontal="center"/>
    </xf>
    <xf numFmtId="0" fontId="53" fillId="0" borderId="24" xfId="0" applyFont="1" applyBorder="1" applyAlignment="1">
      <alignment horizontal="center"/>
    </xf>
    <xf numFmtId="0" fontId="53" fillId="0" borderId="25" xfId="0" applyFont="1" applyBorder="1" applyAlignment="1">
      <alignment horizontal="center"/>
    </xf>
    <xf numFmtId="0" fontId="43" fillId="0" borderId="0" xfId="0" applyFont="1" applyAlignment="1">
      <alignment wrapText="1"/>
    </xf>
    <xf numFmtId="41" fontId="4" fillId="0" borderId="4" xfId="0" applyNumberFormat="1" applyFont="1" applyBorder="1" applyAlignment="1">
      <alignment horizontal="center" wrapText="1"/>
    </xf>
    <xf numFmtId="0" fontId="57" fillId="0" borderId="0" xfId="0" applyFont="1" applyAlignment="1">
      <alignment vertical="top" wrapText="1"/>
    </xf>
    <xf numFmtId="0" fontId="49" fillId="0" borderId="0" xfId="54" applyFont="1" applyAlignment="1">
      <alignment vertical="top" wrapText="1"/>
    </xf>
    <xf numFmtId="0" fontId="50" fillId="0" borderId="29" xfId="54" applyFont="1" applyBorder="1" applyAlignment="1">
      <alignment horizontal="center"/>
    </xf>
    <xf numFmtId="0" fontId="50" fillId="0" borderId="30" xfId="54" applyFont="1" applyBorder="1" applyAlignment="1">
      <alignment horizontal="center"/>
    </xf>
    <xf numFmtId="0" fontId="50" fillId="0" borderId="26" xfId="54" applyFont="1" applyBorder="1" applyAlignment="1">
      <alignment horizontal="center"/>
    </xf>
    <xf numFmtId="0" fontId="4" fillId="0" borderId="29" xfId="54" applyFont="1" applyBorder="1" applyAlignment="1">
      <alignment horizontal="center"/>
    </xf>
    <xf numFmtId="0" fontId="4" fillId="0" borderId="30" xfId="54" applyFont="1" applyBorder="1" applyAlignment="1">
      <alignment horizontal="center"/>
    </xf>
    <xf numFmtId="0" fontId="4" fillId="0" borderId="26" xfId="54" applyFont="1" applyBorder="1" applyAlignment="1">
      <alignment horizontal="center"/>
    </xf>
    <xf numFmtId="0" fontId="4" fillId="0" borderId="1" xfId="54" applyFont="1" applyBorder="1" applyAlignment="1">
      <alignment horizontal="center"/>
    </xf>
    <xf numFmtId="0" fontId="4" fillId="0" borderId="0" xfId="54" applyFont="1" applyAlignment="1">
      <alignment horizontal="center" vertical="center"/>
    </xf>
    <xf numFmtId="0" fontId="9" fillId="0" borderId="29" xfId="0" applyFont="1" applyBorder="1" applyAlignment="1">
      <alignment horizontal="center"/>
    </xf>
    <xf numFmtId="0" fontId="9" fillId="0" borderId="30" xfId="0" applyFont="1" applyBorder="1" applyAlignment="1">
      <alignment horizontal="center"/>
    </xf>
    <xf numFmtId="0" fontId="9" fillId="0" borderId="26" xfId="0" applyFont="1" applyBorder="1" applyAlignment="1">
      <alignment horizontal="center"/>
    </xf>
    <xf numFmtId="0" fontId="33" fillId="0" borderId="0" xfId="0" applyFont="1" applyAlignment="1">
      <alignment horizontal="center" wrapText="1"/>
    </xf>
    <xf numFmtId="0" fontId="33" fillId="0" borderId="16" xfId="0" applyFont="1" applyBorder="1" applyAlignment="1">
      <alignment horizontal="center"/>
    </xf>
    <xf numFmtId="0" fontId="2" fillId="7" borderId="0" xfId="0" applyFont="1" applyFill="1" applyAlignment="1">
      <alignment vertical="top" wrapText="1"/>
    </xf>
    <xf numFmtId="0" fontId="9" fillId="0" borderId="29" xfId="0" applyFont="1" applyBorder="1" applyAlignment="1">
      <alignment horizontal="center" wrapText="1"/>
    </xf>
    <xf numFmtId="0" fontId="9" fillId="0" borderId="30" xfId="0" applyFont="1" applyBorder="1" applyAlignment="1">
      <alignment horizontal="center" wrapText="1"/>
    </xf>
    <xf numFmtId="0" fontId="9" fillId="0" borderId="26" xfId="0" applyFont="1" applyBorder="1" applyAlignment="1">
      <alignment horizontal="center" wrapText="1"/>
    </xf>
    <xf numFmtId="0" fontId="6" fillId="0" borderId="15" xfId="0" applyFont="1" applyBorder="1" applyAlignment="1">
      <alignment horizontal="left" wrapText="1" indent="2"/>
    </xf>
    <xf numFmtId="0" fontId="9" fillId="0" borderId="24" xfId="0" applyFont="1" applyBorder="1" applyAlignment="1">
      <alignment horizontal="center" wrapText="1"/>
    </xf>
    <xf numFmtId="0" fontId="9" fillId="0" borderId="0" xfId="0" applyFont="1" applyAlignment="1">
      <alignment horizontal="center" wrapText="1"/>
    </xf>
    <xf numFmtId="0" fontId="9" fillId="0" borderId="25" xfId="0" applyFont="1" applyBorder="1" applyAlignment="1">
      <alignment horizontal="center" wrapText="1"/>
    </xf>
    <xf numFmtId="0" fontId="9" fillId="0" borderId="16" xfId="0" applyFont="1" applyBorder="1" applyAlignment="1">
      <alignment horizontal="center" wrapText="1"/>
    </xf>
    <xf numFmtId="0" fontId="61" fillId="5" borderId="29" xfId="0" applyFont="1" applyFill="1" applyBorder="1" applyAlignment="1">
      <alignment horizontal="center"/>
    </xf>
    <xf numFmtId="0" fontId="61" fillId="5" borderId="30" xfId="0" applyFont="1" applyFill="1" applyBorder="1" applyAlignment="1">
      <alignment horizontal="center"/>
    </xf>
    <xf numFmtId="0" fontId="61" fillId="5" borderId="26" xfId="0" applyFont="1" applyFill="1" applyBorder="1" applyAlignment="1">
      <alignment horizontal="center"/>
    </xf>
    <xf numFmtId="0" fontId="61" fillId="5" borderId="29" xfId="0" applyFont="1" applyFill="1" applyBorder="1" applyAlignment="1">
      <alignment horizontal="center" wrapText="1"/>
    </xf>
    <xf numFmtId="0" fontId="61" fillId="5" borderId="30" xfId="0" applyFont="1" applyFill="1" applyBorder="1" applyAlignment="1">
      <alignment horizontal="center" wrapText="1"/>
    </xf>
    <xf numFmtId="0" fontId="61" fillId="5" borderId="26" xfId="0" applyFont="1" applyFill="1" applyBorder="1" applyAlignment="1">
      <alignment horizontal="center" wrapText="1"/>
    </xf>
    <xf numFmtId="0" fontId="9" fillId="0" borderId="1" xfId="0" applyFont="1" applyBorder="1" applyAlignment="1">
      <alignment horizontal="center"/>
    </xf>
    <xf numFmtId="0" fontId="62" fillId="0" borderId="0" xfId="0" applyFont="1" applyAlignment="1">
      <alignment horizontal="center"/>
    </xf>
    <xf numFmtId="0" fontId="2" fillId="0" borderId="0" xfId="0" applyFont="1" applyAlignment="1">
      <alignment horizontal="left" vertical="top" wrapText="1"/>
    </xf>
    <xf numFmtId="0" fontId="9" fillId="0" borderId="0" xfId="54" applyFont="1" applyAlignment="1">
      <alignment horizontal="center" vertical="center"/>
    </xf>
    <xf numFmtId="0" fontId="11" fillId="0" borderId="0" xfId="54" applyFont="1" applyAlignment="1">
      <alignment horizontal="left"/>
    </xf>
    <xf numFmtId="0" fontId="2" fillId="0" borderId="0" xfId="54" applyAlignment="1">
      <alignment horizontal="center" vertical="top" wrapText="1"/>
    </xf>
    <xf numFmtId="172" fontId="3" fillId="2" borderId="0" xfId="1" applyNumberFormat="1" applyFont="1" applyFill="1" applyProtection="1">
      <protection locked="0"/>
    </xf>
    <xf numFmtId="164" fontId="6" fillId="0" borderId="16" xfId="1" applyNumberFormat="1" applyFont="1" applyFill="1" applyBorder="1" applyProtection="1"/>
    <xf numFmtId="164" fontId="6" fillId="0" borderId="18" xfId="0" applyNumberFormat="1" applyFont="1" applyFill="1" applyBorder="1"/>
    <xf numFmtId="0" fontId="3" fillId="0" borderId="20" xfId="0" applyFont="1" applyBorder="1" applyAlignment="1">
      <alignment horizontal="center"/>
    </xf>
    <xf numFmtId="164" fontId="6" fillId="0" borderId="0" xfId="0" applyNumberFormat="1" applyFont="1" applyBorder="1"/>
    <xf numFmtId="43" fontId="6" fillId="0" borderId="0" xfId="0" applyNumberFormat="1" applyFont="1" applyBorder="1"/>
    <xf numFmtId="164" fontId="6" fillId="0" borderId="37" xfId="0" applyNumberFormat="1" applyFont="1" applyBorder="1"/>
    <xf numFmtId="0" fontId="2" fillId="0" borderId="0" xfId="0" applyFont="1" applyFill="1"/>
    <xf numFmtId="0" fontId="2" fillId="0" borderId="0" xfId="0" applyFont="1" applyBorder="1"/>
    <xf numFmtId="0" fontId="0" fillId="0" borderId="0" xfId="0" applyBorder="1"/>
    <xf numFmtId="0" fontId="9" fillId="0" borderId="0" xfId="0" applyFont="1" applyBorder="1" applyAlignment="1">
      <alignment horizontal="center"/>
    </xf>
    <xf numFmtId="0" fontId="5" fillId="0" borderId="0" xfId="0" applyFont="1" applyBorder="1" applyAlignment="1">
      <alignment horizontal="center"/>
    </xf>
    <xf numFmtId="0" fontId="2" fillId="0" borderId="0" xfId="0" applyFont="1" applyBorder="1" applyAlignment="1">
      <alignment horizontal="center"/>
    </xf>
    <xf numFmtId="42" fontId="3" fillId="0" borderId="0" xfId="19" applyNumberFormat="1" applyFont="1" applyFill="1" applyBorder="1" applyProtection="1"/>
    <xf numFmtId="42" fontId="14" fillId="0" borderId="0" xfId="54" applyNumberFormat="1" applyFont="1" applyFill="1" applyAlignment="1">
      <alignment horizontal="center"/>
    </xf>
    <xf numFmtId="42" fontId="3" fillId="0" borderId="0" xfId="19" applyNumberFormat="1" applyFont="1" applyFill="1" applyBorder="1" applyAlignment="1" applyProtection="1">
      <alignment horizontal="center"/>
    </xf>
    <xf numFmtId="41" fontId="3" fillId="0" borderId="0" xfId="1" applyNumberFormat="1" applyFont="1" applyFill="1" applyBorder="1" applyProtection="1"/>
    <xf numFmtId="41" fontId="14" fillId="0" borderId="0" xfId="1" applyNumberFormat="1" applyFont="1" applyFill="1" applyBorder="1" applyAlignment="1" applyProtection="1">
      <alignment horizontal="center"/>
    </xf>
    <xf numFmtId="41" fontId="2" fillId="0" borderId="0" xfId="1" applyNumberFormat="1" applyFill="1" applyBorder="1" applyProtection="1"/>
    <xf numFmtId="164" fontId="14" fillId="0" borderId="0" xfId="1" applyNumberFormat="1" applyFont="1" applyFill="1" applyProtection="1"/>
    <xf numFmtId="164" fontId="14" fillId="0" borderId="2" xfId="1" applyNumberFormat="1" applyFont="1" applyFill="1" applyBorder="1" applyProtection="1"/>
    <xf numFmtId="0" fontId="2" fillId="0" borderId="0" xfId="54" applyFont="1"/>
    <xf numFmtId="0" fontId="9" fillId="0" borderId="0" xfId="0" applyFont="1" applyFill="1"/>
    <xf numFmtId="165" fontId="4" fillId="0" borderId="0" xfId="54" applyNumberFormat="1" applyFont="1" applyAlignment="1" applyProtection="1">
      <alignment horizontal="centerContinuous"/>
    </xf>
    <xf numFmtId="37" fontId="4" fillId="0" borderId="0" xfId="54" applyNumberFormat="1" applyFont="1" applyAlignment="1" applyProtection="1">
      <alignment horizontal="centerContinuous"/>
    </xf>
    <xf numFmtId="37" fontId="3" fillId="0" borderId="0" xfId="54" applyNumberFormat="1" applyFont="1" applyProtection="1"/>
    <xf numFmtId="0" fontId="43" fillId="0" borderId="0" xfId="54" applyFont="1" applyAlignment="1" applyProtection="1">
      <alignment wrapText="1"/>
    </xf>
    <xf numFmtId="165" fontId="4" fillId="0" borderId="0" xfId="54" applyNumberFormat="1" applyFont="1" applyAlignment="1" applyProtection="1">
      <alignment horizontal="left"/>
    </xf>
    <xf numFmtId="37" fontId="4" fillId="0" borderId="0" xfId="54" applyNumberFormat="1" applyFont="1" applyAlignment="1" applyProtection="1">
      <alignment horizontal="left"/>
    </xf>
    <xf numFmtId="0" fontId="4" fillId="0" borderId="0" xfId="54" applyFont="1" applyAlignment="1" applyProtection="1">
      <alignment horizontal="centerContinuous"/>
    </xf>
    <xf numFmtId="41" fontId="3" fillId="0" borderId="0" xfId="54" applyNumberFormat="1" applyFont="1" applyAlignment="1" applyProtection="1">
      <alignment horizontal="center"/>
    </xf>
    <xf numFmtId="41" fontId="3" fillId="0" borderId="0" xfId="54" applyNumberFormat="1" applyFont="1" applyAlignment="1" applyProtection="1">
      <alignment horizontal="centerContinuous"/>
    </xf>
    <xf numFmtId="0" fontId="4" fillId="0" borderId="4" xfId="54" applyFont="1" applyBorder="1" applyAlignment="1" applyProtection="1">
      <alignment horizontal="center"/>
    </xf>
    <xf numFmtId="0" fontId="4" fillId="0" borderId="0" xfId="54" applyFont="1" applyAlignment="1" applyProtection="1">
      <alignment horizontal="center"/>
    </xf>
    <xf numFmtId="41" fontId="3" fillId="0" borderId="0" xfId="54" applyNumberFormat="1" applyFont="1" applyProtection="1"/>
    <xf numFmtId="165" fontId="3" fillId="0" borderId="0" xfId="54" applyNumberFormat="1" applyFont="1" applyAlignment="1" applyProtection="1">
      <alignment horizontal="left"/>
    </xf>
    <xf numFmtId="169" fontId="3" fillId="0" borderId="0" xfId="59" applyNumberFormat="1" applyFont="1" applyFill="1" applyBorder="1" applyProtection="1"/>
    <xf numFmtId="165" fontId="3" fillId="0" borderId="0" xfId="54" applyNumberFormat="1" applyFont="1" applyAlignment="1" applyProtection="1">
      <alignment horizontal="left" indent="2"/>
    </xf>
    <xf numFmtId="41" fontId="4" fillId="0" borderId="0" xfId="54" applyNumberFormat="1" applyFont="1" applyProtection="1"/>
    <xf numFmtId="165" fontId="3" fillId="0" borderId="0" xfId="54" applyNumberFormat="1" applyFont="1" applyAlignment="1" applyProtection="1">
      <alignment horizontal="left" indent="1"/>
    </xf>
    <xf numFmtId="37" fontId="8" fillId="0" borderId="0" xfId="54" applyNumberFormat="1" applyFont="1" applyProtection="1"/>
    <xf numFmtId="37" fontId="3" fillId="0" borderId="0" xfId="54" applyNumberFormat="1" applyFont="1" applyAlignment="1" applyProtection="1">
      <alignment horizontal="centerContinuous"/>
    </xf>
    <xf numFmtId="37" fontId="4" fillId="0" borderId="0" xfId="54" applyNumberFormat="1" applyFont="1" applyAlignment="1" applyProtection="1">
      <alignment horizontal="center"/>
    </xf>
    <xf numFmtId="0" fontId="43" fillId="0" borderId="0" xfId="54" applyFont="1" applyProtection="1"/>
    <xf numFmtId="0" fontId="2" fillId="0" borderId="0" xfId="54" applyAlignment="1" applyProtection="1">
      <alignment vertical="center" wrapText="1"/>
    </xf>
    <xf numFmtId="0" fontId="2" fillId="0" borderId="0" xfId="54" applyAlignment="1" applyProtection="1">
      <alignment vertical="top" wrapText="1"/>
    </xf>
    <xf numFmtId="37" fontId="3" fillId="0" borderId="0" xfId="54" applyNumberFormat="1" applyFont="1" applyAlignment="1" applyProtection="1">
      <alignment wrapText="1"/>
    </xf>
    <xf numFmtId="37" fontId="3" fillId="0" borderId="0" xfId="54" applyNumberFormat="1" applyFont="1" applyAlignment="1" applyProtection="1">
      <alignment wrapText="1"/>
    </xf>
    <xf numFmtId="41" fontId="3" fillId="0" borderId="0" xfId="54" applyNumberFormat="1" applyFont="1" applyAlignment="1" applyProtection="1">
      <alignment horizontal="left"/>
    </xf>
    <xf numFmtId="165" fontId="8" fillId="0" borderId="0" xfId="54" applyNumberFormat="1" applyFont="1" applyAlignment="1" applyProtection="1">
      <alignment horizontal="left"/>
    </xf>
  </cellXfs>
  <cellStyles count="115">
    <cellStyle name="Comma" xfId="1" builtinId="3"/>
    <cellStyle name="Comma 2" xfId="2" xr:uid="{00000000-0005-0000-0000-000001000000}"/>
    <cellStyle name="Comma 2 2" xfId="3" xr:uid="{00000000-0005-0000-0000-000002000000}"/>
    <cellStyle name="Comma 2 2 2" xfId="71" xr:uid="{00000000-0005-0000-0000-000002000000}"/>
    <cellStyle name="Comma 2 3" xfId="4" xr:uid="{00000000-0005-0000-0000-000003000000}"/>
    <cellStyle name="Comma 2 3 2" xfId="5" xr:uid="{00000000-0005-0000-0000-000004000000}"/>
    <cellStyle name="Comma 2 3 2 2" xfId="73" xr:uid="{00000000-0005-0000-0000-000004000000}"/>
    <cellStyle name="Comma 2 3 3" xfId="72" xr:uid="{00000000-0005-0000-0000-000003000000}"/>
    <cellStyle name="Comma 2 4" xfId="6" xr:uid="{00000000-0005-0000-0000-000005000000}"/>
    <cellStyle name="Comma 3" xfId="7" xr:uid="{00000000-0005-0000-0000-000006000000}"/>
    <cellStyle name="Comma 3 2" xfId="8" xr:uid="{00000000-0005-0000-0000-000007000000}"/>
    <cellStyle name="Comma 3 2 2" xfId="75" xr:uid="{00000000-0005-0000-0000-000007000000}"/>
    <cellStyle name="Comma 3 3" xfId="9" xr:uid="{00000000-0005-0000-0000-000008000000}"/>
    <cellStyle name="Comma 3 3 2" xfId="10" xr:uid="{00000000-0005-0000-0000-000009000000}"/>
    <cellStyle name="Comma 3 3 2 2" xfId="77" xr:uid="{00000000-0005-0000-0000-000009000000}"/>
    <cellStyle name="Comma 3 3 3" xfId="76" xr:uid="{00000000-0005-0000-0000-000008000000}"/>
    <cellStyle name="Comma 3 4" xfId="11" xr:uid="{00000000-0005-0000-0000-00000A000000}"/>
    <cellStyle name="Comma 3 4 2" xfId="78" xr:uid="{00000000-0005-0000-0000-00000A000000}"/>
    <cellStyle name="Comma 3 5" xfId="12" xr:uid="{00000000-0005-0000-0000-00000B000000}"/>
    <cellStyle name="Comma 3 6" xfId="74" xr:uid="{00000000-0005-0000-0000-000006000000}"/>
    <cellStyle name="Comma 4" xfId="13" xr:uid="{00000000-0005-0000-0000-00000C000000}"/>
    <cellStyle name="Comma 4 2" xfId="14" xr:uid="{00000000-0005-0000-0000-00000D000000}"/>
    <cellStyle name="Comma 4 2 2" xfId="80" xr:uid="{00000000-0005-0000-0000-00000D000000}"/>
    <cellStyle name="Comma 4 3" xfId="79" xr:uid="{00000000-0005-0000-0000-00000C000000}"/>
    <cellStyle name="Comma 5" xfId="15" xr:uid="{00000000-0005-0000-0000-00000E000000}"/>
    <cellStyle name="Comma 5 2" xfId="16" xr:uid="{00000000-0005-0000-0000-00000F000000}"/>
    <cellStyle name="Comma 5 2 2" xfId="82" xr:uid="{00000000-0005-0000-0000-00000F000000}"/>
    <cellStyle name="Comma 5 3" xfId="81" xr:uid="{00000000-0005-0000-0000-00000E000000}"/>
    <cellStyle name="Comma 6" xfId="17" xr:uid="{00000000-0005-0000-0000-000010000000}"/>
    <cellStyle name="Comma 7" xfId="18" xr:uid="{00000000-0005-0000-0000-000011000000}"/>
    <cellStyle name="Currency" xfId="19" builtinId="4"/>
    <cellStyle name="Currency 2" xfId="20" xr:uid="{00000000-0005-0000-0000-000013000000}"/>
    <cellStyle name="Currency 2 2" xfId="21" xr:uid="{00000000-0005-0000-0000-000014000000}"/>
    <cellStyle name="Currency 2 2 2" xfId="22" xr:uid="{00000000-0005-0000-0000-000015000000}"/>
    <cellStyle name="Currency 2 2 3" xfId="84" xr:uid="{00000000-0005-0000-0000-000014000000}"/>
    <cellStyle name="Currency 2 3" xfId="23" xr:uid="{00000000-0005-0000-0000-000016000000}"/>
    <cellStyle name="Currency 2 3 2" xfId="24" xr:uid="{00000000-0005-0000-0000-000017000000}"/>
    <cellStyle name="Currency 2 3 2 2" xfId="86" xr:uid="{00000000-0005-0000-0000-000017000000}"/>
    <cellStyle name="Currency 2 3 3" xfId="85" xr:uid="{00000000-0005-0000-0000-000016000000}"/>
    <cellStyle name="Currency 2 4" xfId="25" xr:uid="{00000000-0005-0000-0000-000018000000}"/>
    <cellStyle name="Currency 2 4 2" xfId="87" xr:uid="{00000000-0005-0000-0000-000018000000}"/>
    <cellStyle name="Currency 2 5" xfId="26" xr:uid="{00000000-0005-0000-0000-000019000000}"/>
    <cellStyle name="Currency 2 6" xfId="83" xr:uid="{00000000-0005-0000-0000-000013000000}"/>
    <cellStyle name="Currency 3" xfId="27" xr:uid="{00000000-0005-0000-0000-00001A000000}"/>
    <cellStyle name="Currency 4" xfId="28" xr:uid="{00000000-0005-0000-0000-00001B000000}"/>
    <cellStyle name="Currency 4 2" xfId="29" xr:uid="{00000000-0005-0000-0000-00001C000000}"/>
    <cellStyle name="Currency 4 2 2" xfId="89" xr:uid="{00000000-0005-0000-0000-00001C000000}"/>
    <cellStyle name="Currency 4 3" xfId="30" xr:uid="{00000000-0005-0000-0000-00001D000000}"/>
    <cellStyle name="Currency 4 3 2" xfId="31" xr:uid="{00000000-0005-0000-0000-00001E000000}"/>
    <cellStyle name="Currency 4 3 2 2" xfId="91" xr:uid="{00000000-0005-0000-0000-00001E000000}"/>
    <cellStyle name="Currency 4 3 3" xfId="90" xr:uid="{00000000-0005-0000-0000-00001D000000}"/>
    <cellStyle name="Currency 4 4" xfId="88" xr:uid="{00000000-0005-0000-0000-00001B000000}"/>
    <cellStyle name="Currency 5" xfId="32" xr:uid="{00000000-0005-0000-0000-00001F000000}"/>
    <cellStyle name="Currency 5 2" xfId="33" xr:uid="{00000000-0005-0000-0000-000020000000}"/>
    <cellStyle name="Currency 5 2 2" xfId="93" xr:uid="{00000000-0005-0000-0000-000020000000}"/>
    <cellStyle name="Currency 5 3" xfId="92" xr:uid="{00000000-0005-0000-0000-00001F000000}"/>
    <cellStyle name="Currency 6" xfId="34" xr:uid="{00000000-0005-0000-0000-000021000000}"/>
    <cellStyle name="Currency 6 2" xfId="35" xr:uid="{00000000-0005-0000-0000-000022000000}"/>
    <cellStyle name="Currency 6 2 2" xfId="95" xr:uid="{00000000-0005-0000-0000-000022000000}"/>
    <cellStyle name="Currency 6 3" xfId="94" xr:uid="{00000000-0005-0000-0000-000021000000}"/>
    <cellStyle name="Currency 7" xfId="36" xr:uid="{00000000-0005-0000-0000-000023000000}"/>
    <cellStyle name="Normal" xfId="0" builtinId="0"/>
    <cellStyle name="Normal 2" xfId="37" xr:uid="{00000000-0005-0000-0000-000025000000}"/>
    <cellStyle name="Normal 2 2" xfId="38" xr:uid="{00000000-0005-0000-0000-000026000000}"/>
    <cellStyle name="Normal 2 2 2" xfId="39" xr:uid="{00000000-0005-0000-0000-000027000000}"/>
    <cellStyle name="Normal 2 2 3" xfId="97" xr:uid="{00000000-0005-0000-0000-000026000000}"/>
    <cellStyle name="Normal 2 3" xfId="40" xr:uid="{00000000-0005-0000-0000-000028000000}"/>
    <cellStyle name="Normal 2 3 2" xfId="41" xr:uid="{00000000-0005-0000-0000-000029000000}"/>
    <cellStyle name="Normal 2 3 2 2" xfId="99" xr:uid="{00000000-0005-0000-0000-000029000000}"/>
    <cellStyle name="Normal 2 3 3" xfId="98" xr:uid="{00000000-0005-0000-0000-000028000000}"/>
    <cellStyle name="Normal 2 4" xfId="42" xr:uid="{00000000-0005-0000-0000-00002A000000}"/>
    <cellStyle name="Normal 2 5" xfId="43" xr:uid="{00000000-0005-0000-0000-00002B000000}"/>
    <cellStyle name="Normal 2 5 2" xfId="100" xr:uid="{00000000-0005-0000-0000-00002B000000}"/>
    <cellStyle name="Normal 2 6" xfId="96" xr:uid="{00000000-0005-0000-0000-000025000000}"/>
    <cellStyle name="Normal 3" xfId="44" xr:uid="{00000000-0005-0000-0000-00002C000000}"/>
    <cellStyle name="Normal 4" xfId="45" xr:uid="{00000000-0005-0000-0000-00002D000000}"/>
    <cellStyle name="Normal 4 2" xfId="46" xr:uid="{00000000-0005-0000-0000-00002E000000}"/>
    <cellStyle name="Normal 4 3" xfId="47" xr:uid="{00000000-0005-0000-0000-00002F000000}"/>
    <cellStyle name="Normal 4 3 2" xfId="101" xr:uid="{00000000-0005-0000-0000-00002F000000}"/>
    <cellStyle name="Normal 4 4" xfId="48" xr:uid="{00000000-0005-0000-0000-000030000000}"/>
    <cellStyle name="Normal 4 4 2" xfId="49" xr:uid="{00000000-0005-0000-0000-000031000000}"/>
    <cellStyle name="Normal 4 4 2 2" xfId="103" xr:uid="{00000000-0005-0000-0000-000031000000}"/>
    <cellStyle name="Normal 4 4 3" xfId="102" xr:uid="{00000000-0005-0000-0000-000030000000}"/>
    <cellStyle name="Normal 5" xfId="50" xr:uid="{00000000-0005-0000-0000-000032000000}"/>
    <cellStyle name="Normal 5 2" xfId="51" xr:uid="{00000000-0005-0000-0000-000033000000}"/>
    <cellStyle name="Normal 5 2 2" xfId="105" xr:uid="{00000000-0005-0000-0000-000033000000}"/>
    <cellStyle name="Normal 5 3" xfId="104" xr:uid="{00000000-0005-0000-0000-000032000000}"/>
    <cellStyle name="Normal 5 4" xfId="52" xr:uid="{00000000-0005-0000-0000-000034000000}"/>
    <cellStyle name="Normal 6" xfId="53" xr:uid="{00000000-0005-0000-0000-000035000000}"/>
    <cellStyle name="Normal 6 2" xfId="106" xr:uid="{00000000-0005-0000-0000-000035000000}"/>
    <cellStyle name="Normal 7" xfId="54" xr:uid="{00000000-0005-0000-0000-000036000000}"/>
    <cellStyle name="Normal 8" xfId="55" xr:uid="{00000000-0005-0000-0000-000037000000}"/>
    <cellStyle name="Normal 9" xfId="56" xr:uid="{00000000-0005-0000-0000-000038000000}"/>
    <cellStyle name="Normal_Sheet1" xfId="57" xr:uid="{00000000-0005-0000-0000-000039000000}"/>
    <cellStyle name="Normal_Sheet1 2" xfId="58" xr:uid="{00000000-0005-0000-0000-00003A000000}"/>
    <cellStyle name="Percent" xfId="59" builtinId="5"/>
    <cellStyle name="Percent 2" xfId="60" xr:uid="{00000000-0005-0000-0000-00003C000000}"/>
    <cellStyle name="Percent 2 2" xfId="61" xr:uid="{00000000-0005-0000-0000-00003D000000}"/>
    <cellStyle name="Percent 2 2 2" xfId="108" xr:uid="{00000000-0005-0000-0000-00003D000000}"/>
    <cellStyle name="Percent 2 3" xfId="62" xr:uid="{00000000-0005-0000-0000-00003E000000}"/>
    <cellStyle name="Percent 2 3 2" xfId="63" xr:uid="{00000000-0005-0000-0000-00003F000000}"/>
    <cellStyle name="Percent 2 3 2 2" xfId="110" xr:uid="{00000000-0005-0000-0000-00003F000000}"/>
    <cellStyle name="Percent 2 3 3" xfId="109" xr:uid="{00000000-0005-0000-0000-00003E000000}"/>
    <cellStyle name="Percent 2 4" xfId="64" xr:uid="{00000000-0005-0000-0000-000040000000}"/>
    <cellStyle name="Percent 2 5" xfId="107" xr:uid="{00000000-0005-0000-0000-00003C000000}"/>
    <cellStyle name="Percent 3" xfId="65" xr:uid="{00000000-0005-0000-0000-000041000000}"/>
    <cellStyle name="Percent 3 2" xfId="66" xr:uid="{00000000-0005-0000-0000-000042000000}"/>
    <cellStyle name="Percent 3 2 2" xfId="112" xr:uid="{00000000-0005-0000-0000-000042000000}"/>
    <cellStyle name="Percent 3 3" xfId="111" xr:uid="{00000000-0005-0000-0000-000041000000}"/>
    <cellStyle name="Percent 4" xfId="67" xr:uid="{00000000-0005-0000-0000-000043000000}"/>
    <cellStyle name="Percent 4 2" xfId="68" xr:uid="{00000000-0005-0000-0000-000044000000}"/>
    <cellStyle name="Percent 4 2 2" xfId="114" xr:uid="{00000000-0005-0000-0000-000044000000}"/>
    <cellStyle name="Percent 4 3" xfId="113" xr:uid="{00000000-0005-0000-0000-000043000000}"/>
    <cellStyle name="Percent 5" xfId="69" xr:uid="{00000000-0005-0000-0000-000045000000}"/>
    <cellStyle name="Percent 6" xfId="70" xr:uid="{00000000-0005-0000-0000-00004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J:\FINANCE\FINSTMTS\2023-24\Financial%20Statement%20Template%2024.xlsx" TargetMode="External"/><Relationship Id="rId1" Type="http://schemas.openxmlformats.org/officeDocument/2006/relationships/externalLinkPath" Target="Financial%20Statement%20Template%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MD&amp;A Section"/>
      <sheetName val="MD&amp;A DW-Net Position"/>
      <sheetName val="MD&amp;A DW-Act"/>
      <sheetName val="MD&amp;A Cap Assets"/>
      <sheetName val="MD&amp;A ROU Assets"/>
      <sheetName val="MD&amp;A Gen Obligation"/>
      <sheetName val="Basic Stmts"/>
      <sheetName val="DW Net Position"/>
      <sheetName val="DW St of Activities"/>
      <sheetName val="Gov Funds - Bal Sheet"/>
      <sheetName val="Gov Funds - Rev-Exp"/>
      <sheetName val="Recon Activities"/>
      <sheetName val="Fiduciary Funds Net Position"/>
      <sheetName val="Changes in Fiduc. Net Position"/>
      <sheetName val="Notes Section"/>
      <sheetName val="Notes - Fund Balance"/>
      <sheetName val="Capital Assets"/>
      <sheetName val="Notes - Cap Assets &amp; Dep."/>
      <sheetName val="ROU Assets"/>
      <sheetName val="Notes - ROU Assets &amp; Amort."/>
      <sheetName val="long term debt"/>
      <sheetName val="Restatement of Beg Net Position"/>
      <sheetName val="RSI Section"/>
      <sheetName val="Budgetary Comp Sch - Gen"/>
      <sheetName val="Budgetary Comp Sch - Sp Rev"/>
      <sheetName val="Budgetary Comp Sch - SAF"/>
      <sheetName val="Budgetary Comp - Sp Rev ESSERF"/>
      <sheetName val="OSI"/>
      <sheetName val="Budgetary Comp - Debt Svc"/>
      <sheetName val="Budgetary Comp - Bond Constr31"/>
      <sheetName val="Budgetary Comp-Perm Improve"/>
      <sheetName val="Budgetary Comp-Cap Project51"/>
      <sheetName val="Excess Levy Rev &amp; Exp"/>
      <sheetName val="Changes in School Funds"/>
      <sheetName val="SEFA"/>
      <sheetName val="SAGA"/>
      <sheetName val="Workpapers Section"/>
      <sheetName val="TrialBal"/>
      <sheetName val="JEs"/>
      <sheetName val="Sheet3"/>
      <sheetName val="Rev Alloc"/>
      <sheetName val="Rev Check"/>
      <sheetName val="Encumbrance Distribution"/>
    </sheetNames>
    <sheetDataSet>
      <sheetData sheetId="0"/>
      <sheetData sheetId="1"/>
      <sheetData sheetId="2"/>
      <sheetData sheetId="3"/>
      <sheetData sheetId="4"/>
      <sheetData sheetId="5"/>
      <sheetData sheetId="6"/>
      <sheetData sheetId="7">
        <row r="44">
          <cell r="C44">
            <v>0</v>
          </cell>
        </row>
        <row r="81">
          <cell r="C81">
            <v>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39997558519241921"/>
  </sheetPr>
  <dimension ref="A1:P139"/>
  <sheetViews>
    <sheetView tabSelected="1" view="pageBreakPreview" zoomScale="75" zoomScaleNormal="100" zoomScaleSheetLayoutView="75" workbookViewId="0">
      <selection activeCell="M95" sqref="M95"/>
    </sheetView>
  </sheetViews>
  <sheetFormatPr defaultColWidth="8.88671875" defaultRowHeight="15" x14ac:dyDescent="0.2"/>
  <cols>
    <col min="1" max="1" width="6.109375" customWidth="1"/>
    <col min="2" max="2" width="69.21875" customWidth="1"/>
    <col min="3" max="3" width="2.5546875" customWidth="1"/>
    <col min="4" max="4" width="13.88671875" style="26" customWidth="1"/>
    <col min="5" max="5" width="5.109375" style="26" customWidth="1"/>
    <col min="6" max="6" width="13.88671875" style="26" customWidth="1"/>
    <col min="7" max="7" width="5.109375" customWidth="1"/>
    <col min="8" max="8" width="12.5546875" customWidth="1"/>
    <col min="9" max="9" width="16.6640625" customWidth="1"/>
    <col min="10" max="10" width="13.33203125" customWidth="1"/>
  </cols>
  <sheetData>
    <row r="1" spans="1:14" ht="35.25" customHeight="1" x14ac:dyDescent="0.3">
      <c r="A1" s="456" t="s">
        <v>13</v>
      </c>
      <c r="B1" s="456"/>
      <c r="C1" s="456"/>
      <c r="D1" s="456"/>
      <c r="E1" s="456"/>
      <c r="F1" s="456"/>
      <c r="G1" s="456"/>
      <c r="H1" s="457" t="s">
        <v>16</v>
      </c>
      <c r="I1" s="457"/>
      <c r="J1" s="457"/>
      <c r="K1" s="457"/>
      <c r="L1" s="457"/>
    </row>
    <row r="2" spans="1:14" ht="18.75" customHeight="1" x14ac:dyDescent="0.3">
      <c r="A2" s="456" t="s">
        <v>433</v>
      </c>
      <c r="B2" s="456"/>
      <c r="C2" s="456"/>
      <c r="D2" s="456"/>
      <c r="E2" s="456"/>
      <c r="F2" s="456"/>
      <c r="G2" s="456"/>
      <c r="H2" s="457"/>
      <c r="I2" s="457"/>
      <c r="J2" s="457"/>
      <c r="K2" s="457"/>
      <c r="L2" s="457"/>
      <c r="M2" s="174"/>
    </row>
    <row r="3" spans="1:14" ht="18.75" customHeight="1" x14ac:dyDescent="0.3">
      <c r="A3" s="456" t="s">
        <v>548</v>
      </c>
      <c r="B3" s="456"/>
      <c r="C3" s="456"/>
      <c r="D3" s="456"/>
      <c r="E3" s="456"/>
      <c r="F3" s="456"/>
      <c r="G3" s="456"/>
      <c r="H3" s="292"/>
      <c r="I3" s="292"/>
      <c r="J3" s="292"/>
      <c r="K3" s="292"/>
      <c r="L3" s="292"/>
      <c r="M3" s="174"/>
    </row>
    <row r="4" spans="1:14" x14ac:dyDescent="0.2">
      <c r="A4" s="455"/>
      <c r="B4" s="455"/>
      <c r="C4" s="455"/>
      <c r="D4" s="455"/>
      <c r="E4" s="455"/>
      <c r="F4" s="455"/>
      <c r="G4" s="455"/>
      <c r="H4" s="455"/>
      <c r="J4" s="174"/>
      <c r="K4" s="174"/>
      <c r="L4" s="174"/>
      <c r="M4" s="174"/>
      <c r="N4" s="174"/>
    </row>
    <row r="5" spans="1:14" ht="18" x14ac:dyDescent="0.25">
      <c r="A5" s="53" t="s">
        <v>4</v>
      </c>
      <c r="B5" s="54"/>
      <c r="C5" s="54"/>
      <c r="D5" s="54"/>
      <c r="E5" s="54"/>
      <c r="F5" s="54"/>
      <c r="G5" s="54"/>
      <c r="H5" s="20" t="s">
        <v>18</v>
      </c>
      <c r="J5" s="174"/>
      <c r="K5" s="174"/>
      <c r="L5" s="174"/>
      <c r="M5" s="174"/>
      <c r="N5" s="174"/>
    </row>
    <row r="6" spans="1:14" ht="18" x14ac:dyDescent="0.25">
      <c r="B6" s="53" t="s">
        <v>15</v>
      </c>
      <c r="H6" s="20" t="s">
        <v>547</v>
      </c>
      <c r="J6" s="174"/>
      <c r="K6" s="174"/>
      <c r="L6" s="174"/>
      <c r="M6" s="174"/>
      <c r="N6" s="174"/>
    </row>
    <row r="7" spans="1:14" ht="27" customHeight="1" x14ac:dyDescent="0.35">
      <c r="A7" s="55"/>
      <c r="B7" s="55"/>
      <c r="D7" s="56" t="s">
        <v>0</v>
      </c>
      <c r="E7" s="56"/>
      <c r="F7" s="56" t="s">
        <v>1</v>
      </c>
    </row>
    <row r="8" spans="1:14" ht="15" customHeight="1" thickBot="1" x14ac:dyDescent="0.25">
      <c r="A8" s="57"/>
      <c r="B8" s="57"/>
      <c r="I8" s="23"/>
    </row>
    <row r="9" spans="1:14" ht="47.25" thickBot="1" x14ac:dyDescent="0.4">
      <c r="B9" s="59"/>
      <c r="D9" s="61"/>
      <c r="E9"/>
      <c r="F9"/>
      <c r="H9" s="293" t="s">
        <v>325</v>
      </c>
      <c r="I9" s="294" t="s">
        <v>326</v>
      </c>
    </row>
    <row r="10" spans="1:14" ht="15" customHeight="1" x14ac:dyDescent="0.2">
      <c r="A10" s="58" t="s">
        <v>182</v>
      </c>
      <c r="B10" s="60" t="s">
        <v>178</v>
      </c>
      <c r="D10" s="61"/>
      <c r="E10"/>
      <c r="F10"/>
    </row>
    <row r="11" spans="1:14" ht="15" customHeight="1" x14ac:dyDescent="0.2">
      <c r="A11" s="58"/>
      <c r="B11" s="60" t="s">
        <v>179</v>
      </c>
      <c r="D11" s="61"/>
      <c r="E11"/>
      <c r="F11"/>
    </row>
    <row r="12" spans="1:14" ht="15" customHeight="1" x14ac:dyDescent="0.2">
      <c r="A12" s="58"/>
      <c r="B12" s="60"/>
      <c r="D12" s="61"/>
      <c r="E12"/>
      <c r="F12"/>
    </row>
    <row r="13" spans="1:14" ht="15" customHeight="1" x14ac:dyDescent="0.2">
      <c r="B13" s="1" t="s">
        <v>11</v>
      </c>
      <c r="D13" s="135">
        <f>IF($I$9="LEA",'Summary of GASB 68 Activity'!C26,IF($I$9="RESA",'Summary of GASB 68 Activity'!E26,IF($I$9="MCVC",'Summary of GASB 68 Activity'!G26,0)))</f>
        <v>0</v>
      </c>
      <c r="E13"/>
      <c r="F13" s="38"/>
      <c r="H13" s="23"/>
    </row>
    <row r="14" spans="1:14" ht="15" customHeight="1" x14ac:dyDescent="0.25">
      <c r="B14" s="65" t="s">
        <v>10</v>
      </c>
      <c r="D14" s="61">
        <f>IF(D13-F16-F15&lt;0,-(D13-F15-F16),0)</f>
        <v>0</v>
      </c>
      <c r="E14"/>
      <c r="F14" s="38">
        <f>IF(D13-F16-F15&gt;0,(D13-F15-F16),0)</f>
        <v>0</v>
      </c>
      <c r="H14" s="23"/>
      <c r="I14" s="142" t="s">
        <v>361</v>
      </c>
    </row>
    <row r="15" spans="1:14" ht="15" customHeight="1" x14ac:dyDescent="0.25">
      <c r="B15" s="66" t="s">
        <v>12</v>
      </c>
      <c r="D15" s="61"/>
      <c r="E15"/>
      <c r="F15" s="135">
        <f>IF($I$9="LEA",'Summary of GASB 68 Activity'!C39,IF($I$9="RESA",'Summary of GASB 68 Activity'!E39,IF($I$9="MCVC",'Summary of GASB 68 Activity'!G39,0)))</f>
        <v>0</v>
      </c>
      <c r="H15" s="23"/>
      <c r="I15" s="137" t="s">
        <v>430</v>
      </c>
    </row>
    <row r="16" spans="1:14" ht="15" customHeight="1" x14ac:dyDescent="0.2">
      <c r="B16" s="67" t="s">
        <v>76</v>
      </c>
      <c r="D16" s="61"/>
      <c r="E16"/>
      <c r="F16" s="135">
        <f>IF($I$9="LEA",'Summary of GASB 68 Activity'!C15,IF($I$9="RESA",'Summary of GASB 68 Activity'!E15,IF($I$9="MCVC",'Summary of GASB 68 Activity'!G15,0)))</f>
        <v>0</v>
      </c>
      <c r="H16" s="141" t="s">
        <v>363</v>
      </c>
      <c r="I16" s="138"/>
      <c r="J16" s="23" t="s">
        <v>435</v>
      </c>
    </row>
    <row r="17" spans="1:16" ht="15" customHeight="1" x14ac:dyDescent="0.2">
      <c r="B17" s="67"/>
      <c r="D17" s="61"/>
      <c r="E17"/>
      <c r="F17" s="38"/>
      <c r="H17" s="141" t="s">
        <v>363</v>
      </c>
      <c r="I17" s="138"/>
      <c r="J17" s="23" t="s">
        <v>434</v>
      </c>
    </row>
    <row r="18" spans="1:16" ht="15" customHeight="1" x14ac:dyDescent="0.25">
      <c r="B18" s="59" t="s">
        <v>180</v>
      </c>
      <c r="D18" s="61"/>
      <c r="E18"/>
      <c r="F18"/>
      <c r="H18" s="141" t="s">
        <v>363</v>
      </c>
      <c r="I18" s="38"/>
      <c r="J18" s="23" t="s">
        <v>436</v>
      </c>
    </row>
    <row r="19" spans="1:16" ht="15" customHeight="1" x14ac:dyDescent="0.25">
      <c r="B19" s="59" t="s">
        <v>181</v>
      </c>
      <c r="D19" s="61"/>
      <c r="E19"/>
      <c r="F19"/>
      <c r="H19" s="141" t="s">
        <v>363</v>
      </c>
      <c r="I19" s="38"/>
      <c r="J19" s="23" t="s">
        <v>437</v>
      </c>
    </row>
    <row r="20" spans="1:16" ht="15" customHeight="1" x14ac:dyDescent="0.25">
      <c r="B20" s="59"/>
      <c r="D20" s="61"/>
      <c r="E20"/>
      <c r="F20"/>
      <c r="H20" s="141" t="s">
        <v>363</v>
      </c>
      <c r="I20" s="139"/>
      <c r="J20" s="23" t="s">
        <v>438</v>
      </c>
    </row>
    <row r="21" spans="1:16" ht="15" customHeight="1" x14ac:dyDescent="0.2">
      <c r="A21" s="58"/>
      <c r="B21" s="60"/>
      <c r="D21" s="61"/>
      <c r="E21"/>
      <c r="F21"/>
      <c r="H21" s="141"/>
      <c r="I21" s="30">
        <f>SUM(I16:I20)</f>
        <v>0</v>
      </c>
      <c r="J21" s="23" t="s">
        <v>439</v>
      </c>
    </row>
    <row r="22" spans="1:16" ht="15" customHeight="1" x14ac:dyDescent="0.2">
      <c r="A22" s="58" t="s">
        <v>183</v>
      </c>
      <c r="B22" s="60" t="s">
        <v>241</v>
      </c>
      <c r="D22" s="61"/>
      <c r="E22"/>
      <c r="F22"/>
      <c r="I22" s="140">
        <f>D14</f>
        <v>0</v>
      </c>
      <c r="J22" s="23" t="s">
        <v>440</v>
      </c>
    </row>
    <row r="23" spans="1:16" ht="15" customHeight="1" thickBot="1" x14ac:dyDescent="0.25">
      <c r="A23" s="58"/>
      <c r="B23" s="112" t="s">
        <v>242</v>
      </c>
      <c r="D23" s="61"/>
      <c r="E23"/>
      <c r="F23"/>
      <c r="I23" s="29">
        <f>I21-I22</f>
        <v>0</v>
      </c>
      <c r="J23" s="23" t="s">
        <v>362</v>
      </c>
    </row>
    <row r="24" spans="1:16" ht="15" customHeight="1" thickTop="1" x14ac:dyDescent="0.2">
      <c r="A24" s="58"/>
      <c r="B24" s="60"/>
      <c r="D24" s="61"/>
      <c r="E24"/>
      <c r="F24"/>
    </row>
    <row r="25" spans="1:16" ht="15" customHeight="1" x14ac:dyDescent="0.2">
      <c r="A25" s="58"/>
      <c r="B25" s="1" t="s">
        <v>86</v>
      </c>
      <c r="D25" s="30">
        <f>IF(I9="LEA",ROUND('Ret Contr Input - LEA'!M87,0),IF(I9="RESA",ROUND('Ret Contr Input - RESA'!M68,0),IF(I9="MCVC",ROUND('Ret Contr Input - MCVC'!M87,0),0)))</f>
        <v>0</v>
      </c>
      <c r="E25"/>
      <c r="F25"/>
      <c r="H25" s="141" t="s">
        <v>363</v>
      </c>
      <c r="I25" s="458" t="s">
        <v>364</v>
      </c>
      <c r="J25" s="458"/>
      <c r="K25" s="458"/>
      <c r="L25" s="458"/>
      <c r="M25" s="458"/>
      <c r="N25" s="458"/>
    </row>
    <row r="26" spans="1:16" ht="15" customHeight="1" x14ac:dyDescent="0.2">
      <c r="B26" s="1" t="s">
        <v>77</v>
      </c>
      <c r="D26" s="61">
        <f>IF(I9="LEA",ROUND('Ret Contr Input - LEA'!J65,0)-D25,IF(I9="MCVC",ROUND('Ret Contr Input - MCVC'!J65,0)-D25,IF(I9="RESA",ROUND('Ret Contr Input - RESA'!J46,0)-D25,0)))</f>
        <v>0</v>
      </c>
      <c r="E26"/>
      <c r="F26"/>
      <c r="I26" s="458"/>
      <c r="J26" s="458"/>
      <c r="K26" s="458"/>
      <c r="L26" s="458"/>
      <c r="M26" s="458"/>
      <c r="N26" s="458"/>
    </row>
    <row r="27" spans="1:16" ht="15" customHeight="1" x14ac:dyDescent="0.2">
      <c r="B27" s="66" t="s">
        <v>65</v>
      </c>
      <c r="D27" s="30"/>
      <c r="E27"/>
      <c r="F27" s="30">
        <f>IF($I$9="LEA",ROUND('Ret Contr Input - LEA'!I70,0),IF($I$9="MCVC",ROUND('Ret Contr Input - MCVC'!I70,0),IF($I$9="RESA",ROUND('Ret Contr Input - RESA'!I51,0),0)))</f>
        <v>0</v>
      </c>
      <c r="J27" s="295"/>
      <c r="K27" s="295"/>
      <c r="L27" s="295"/>
      <c r="M27" s="295"/>
      <c r="N27" s="295"/>
      <c r="O27" s="295"/>
      <c r="P27" s="295"/>
    </row>
    <row r="28" spans="1:16" ht="15" customHeight="1" x14ac:dyDescent="0.2">
      <c r="B28" s="66" t="s">
        <v>66</v>
      </c>
      <c r="D28" s="30"/>
      <c r="E28"/>
      <c r="F28" s="30">
        <f>IF($I$9="LEA",ROUND('Ret Contr Input - LEA'!I71,0),IF($I$9="MCVC",ROUND('Ret Contr Input - MCVC'!I71,0),IF($I$9="RESA",ROUND('Ret Contr Input - RESA'!I52,0),0)))</f>
        <v>0</v>
      </c>
      <c r="H28" s="68"/>
      <c r="I28" s="295"/>
      <c r="J28" s="295"/>
      <c r="K28" s="295"/>
      <c r="L28" s="295"/>
      <c r="M28" s="295"/>
      <c r="N28" s="295"/>
      <c r="O28" s="295"/>
      <c r="P28" s="295"/>
    </row>
    <row r="29" spans="1:16" ht="15" customHeight="1" x14ac:dyDescent="0.2">
      <c r="B29" s="66" t="s">
        <v>67</v>
      </c>
      <c r="D29" s="30"/>
      <c r="E29"/>
      <c r="F29" s="30">
        <f>IF($I$9="LEA",ROUND('Ret Contr Input - LEA'!I72,0),IF($I$9="MCVC",ROUND('Ret Contr Input - MCVC'!I72,0),IF($I$9="RESA",ROUND('Ret Contr Input - RESA'!I53,0),0)))</f>
        <v>0</v>
      </c>
      <c r="H29" s="130"/>
      <c r="I29" s="295"/>
      <c r="J29" s="295"/>
      <c r="K29" s="295"/>
      <c r="L29" s="295"/>
      <c r="M29" s="295"/>
      <c r="N29" s="295"/>
      <c r="O29" s="295"/>
      <c r="P29" s="295"/>
    </row>
    <row r="30" spans="1:16" ht="15" customHeight="1" x14ac:dyDescent="0.2">
      <c r="B30" s="66" t="s">
        <v>68</v>
      </c>
      <c r="D30" s="30"/>
      <c r="E30"/>
      <c r="F30" s="30">
        <f>IF($I$9="LEA",ROUND('Ret Contr Input - LEA'!I73,0),IF($I$9="MCVC",ROUND('Ret Contr Input - MCVC'!I73,0),IF($I$9="RESA",ROUND('Ret Contr Input - RESA'!I54,0),0)))</f>
        <v>0</v>
      </c>
      <c r="H30" s="130"/>
      <c r="I30" s="131"/>
    </row>
    <row r="31" spans="1:16" ht="15" customHeight="1" x14ac:dyDescent="0.2">
      <c r="B31" s="66" t="s">
        <v>69</v>
      </c>
      <c r="D31" s="30"/>
      <c r="E31"/>
      <c r="F31" s="30">
        <f>IF($I$9="LEA",ROUND('Ret Contr Input - LEA'!I74,0),IF($I$9="MCVC",ROUND('Ret Contr Input - MCVC'!I74,0),IF($I$9="RESA",ROUND('Ret Contr Input - RESA'!I55,0),0)))</f>
        <v>0</v>
      </c>
      <c r="H31" s="130"/>
      <c r="I31" s="131"/>
    </row>
    <row r="32" spans="1:16" ht="15" customHeight="1" x14ac:dyDescent="0.2">
      <c r="B32" s="66" t="s">
        <v>70</v>
      </c>
      <c r="D32" s="30"/>
      <c r="E32"/>
      <c r="F32" s="30">
        <f>IF($I$9="LEA",ROUND('Ret Contr Input - LEA'!I75,0),IF($I$9="MCVC",ROUND('Ret Contr Input - MCVC'!I75,0),IF($I$9="RESA",ROUND('Ret Contr Input - RESA'!I56,0),0)))</f>
        <v>0</v>
      </c>
      <c r="H32" s="130"/>
      <c r="I32" s="131"/>
    </row>
    <row r="33" spans="1:9" ht="15" customHeight="1" x14ac:dyDescent="0.2">
      <c r="B33" s="66" t="s">
        <v>71</v>
      </c>
      <c r="D33" s="30"/>
      <c r="E33"/>
      <c r="F33" s="30">
        <f>IF($I$9="LEA",ROUND('Ret Contr Input - LEA'!I76,0),IF($I$9="MCVC",ROUND('Ret Contr Input - MCVC'!I76,0),IF($I$9="RESA",ROUND('Ret Contr Input - RESA'!I57,0),0)))</f>
        <v>0</v>
      </c>
      <c r="H33" s="130"/>
      <c r="I33" s="131"/>
    </row>
    <row r="34" spans="1:9" ht="15" customHeight="1" x14ac:dyDescent="0.2">
      <c r="B34" s="66" t="s">
        <v>72</v>
      </c>
      <c r="D34" s="30"/>
      <c r="E34"/>
      <c r="F34" s="30">
        <f>IF($I$9="LEA",ROUND('Ret Contr Input - LEA'!I77,0),IF($I$9="MCVC",ROUND('Ret Contr Input - MCVC'!I77,0),IF($I$9="RESA",ROUND('Ret Contr Input - RESA'!I58,0),0)))</f>
        <v>0</v>
      </c>
      <c r="H34" s="130"/>
      <c r="I34" s="131"/>
    </row>
    <row r="35" spans="1:9" ht="15" customHeight="1" x14ac:dyDescent="0.2">
      <c r="B35" s="66" t="s">
        <v>73</v>
      </c>
      <c r="D35" s="30"/>
      <c r="E35"/>
      <c r="F35" s="30">
        <f>IF($I$9="LEA",ROUND('Ret Contr Input - LEA'!I78,0),IF($I$9="MCVC",ROUND('Ret Contr Input - MCVC'!I78,0),IF($I$9="RESA",ROUND('Ret Contr Input - RESA'!I59,0),0)))</f>
        <v>0</v>
      </c>
      <c r="H35" s="130"/>
      <c r="I35" s="131"/>
    </row>
    <row r="36" spans="1:9" ht="15" customHeight="1" x14ac:dyDescent="0.2">
      <c r="B36" s="66" t="s">
        <v>74</v>
      </c>
      <c r="D36" s="30"/>
      <c r="E36"/>
      <c r="F36" s="30">
        <f>IF($I$9="LEA",ROUND('Ret Contr Input - LEA'!I79,0),IF($I$9="MCVC",ROUND('Ret Contr Input - MCVC'!I79,0),IF($I$9="RESA",ROUND('Ret Contr Input - RESA'!I60,0),0)))</f>
        <v>0</v>
      </c>
      <c r="H36" s="130"/>
      <c r="I36" s="131"/>
    </row>
    <row r="37" spans="1:9" ht="15" customHeight="1" x14ac:dyDescent="0.2">
      <c r="B37" s="66" t="s">
        <v>75</v>
      </c>
      <c r="D37" s="30"/>
      <c r="E37"/>
      <c r="F37" s="30">
        <f>IF($I$9="LEA",ROUND('Ret Contr Input - LEA'!I80,0),IF($I$9="MCVC",ROUND('Ret Contr Input - MCVC'!I80,0),IF($I$9="RESA",ROUND('Ret Contr Input - RESA'!I61,0),0)))</f>
        <v>0</v>
      </c>
      <c r="H37" s="130"/>
      <c r="I37" s="131"/>
    </row>
    <row r="38" spans="1:9" ht="15" customHeight="1" x14ac:dyDescent="0.2">
      <c r="B38" s="66" t="s">
        <v>118</v>
      </c>
      <c r="D38" s="30">
        <f>IF(((D26+D25)&lt;(F27+F28+F29+F30+F31+F32+F33+F34+F35+F36+F37)),-((D26+D25)-(F27+F28+F29+F30+F31+F32+F33+F34+F35+F36+F37)),0)</f>
        <v>0</v>
      </c>
      <c r="E38"/>
      <c r="F38" s="108">
        <f>IF(((D26+D25)&gt;(F27+F28+F29+F30+F31+F32+F33+F34+F35+F36+F37)),((D26+D25)-(F27+F28+F29+F30+F31+F32+F33+F34+F35+F36+F37)),0)</f>
        <v>0</v>
      </c>
      <c r="H38" s="69"/>
    </row>
    <row r="39" spans="1:9" ht="15" customHeight="1" x14ac:dyDescent="0.2">
      <c r="D39"/>
      <c r="E39"/>
      <c r="F39" s="30"/>
      <c r="H39" s="23"/>
    </row>
    <row r="40" spans="1:9" ht="15" customHeight="1" x14ac:dyDescent="0.2">
      <c r="B40" s="66"/>
      <c r="D40" s="30"/>
      <c r="E40"/>
      <c r="F40" s="30"/>
      <c r="H40" s="69"/>
    </row>
    <row r="41" spans="1:9" ht="15" customHeight="1" x14ac:dyDescent="0.2">
      <c r="A41" s="58" t="s">
        <v>186</v>
      </c>
      <c r="B41" s="60" t="s">
        <v>243</v>
      </c>
      <c r="D41" s="61"/>
      <c r="E41"/>
      <c r="F41"/>
      <c r="H41" s="69"/>
    </row>
    <row r="42" spans="1:9" ht="15" customHeight="1" x14ac:dyDescent="0.2">
      <c r="A42" s="58"/>
      <c r="B42" s="60"/>
      <c r="D42" s="61"/>
      <c r="E42"/>
      <c r="F42"/>
      <c r="H42" s="69"/>
    </row>
    <row r="43" spans="1:9" ht="15" customHeight="1" x14ac:dyDescent="0.2">
      <c r="B43" s="1" t="s">
        <v>86</v>
      </c>
      <c r="D43" s="30">
        <f>IF($I$9="LEA",ROUND('Ret Contr Input - LEA'!$M$81,0),IF($I$9="MCVC",ROUND('Ret Contr Input - MCVC'!$M$81,0),IF($I$9="RESA",ROUND('Ret Contr Input - RESA'!$M$62,0),0)))</f>
        <v>0</v>
      </c>
      <c r="E43"/>
      <c r="F43"/>
      <c r="H43" s="69"/>
    </row>
    <row r="44" spans="1:9" ht="15" customHeight="1" x14ac:dyDescent="0.2">
      <c r="B44" s="66" t="s">
        <v>65</v>
      </c>
      <c r="D44" s="30"/>
      <c r="E44"/>
      <c r="F44" s="30">
        <f>IF($I$9="LEA",ROUND('Ret Contr Input - LEA'!M70,0),IF($I$9="MCVC",ROUND('Ret Contr Input - MCVC'!M70,0),IF($I$9="RESA",ROUND('Ret Contr Input - RESA'!M51,0),0)))</f>
        <v>0</v>
      </c>
      <c r="H44" s="114" t="s">
        <v>248</v>
      </c>
      <c r="I44" s="30"/>
    </row>
    <row r="45" spans="1:9" ht="15" customHeight="1" x14ac:dyDescent="0.2">
      <c r="B45" s="66" t="s">
        <v>66</v>
      </c>
      <c r="D45" s="30"/>
      <c r="E45"/>
      <c r="F45" s="30">
        <f>IF($I$9="LEA",ROUND('Ret Contr Input - LEA'!M71,0),IF($I$9="MCVC",ROUND('Ret Contr Input - MCVC'!M71,0),IF($I$9="RESA",ROUND('Ret Contr Input - RESA'!M52,0),0)))</f>
        <v>0</v>
      </c>
      <c r="H45" s="114" t="s">
        <v>249</v>
      </c>
      <c r="I45" s="30"/>
    </row>
    <row r="46" spans="1:9" ht="15" customHeight="1" x14ac:dyDescent="0.2">
      <c r="B46" s="66" t="s">
        <v>67</v>
      </c>
      <c r="D46" s="30"/>
      <c r="E46"/>
      <c r="F46" s="30">
        <f>IF($I$9="LEA",ROUND('Ret Contr Input - LEA'!M72,0),IF($I$9="MCVC",ROUND('Ret Contr Input - MCVC'!M72,0),IF($I$9="RESA",ROUND('Ret Contr Input - RESA'!M53,0),0)))</f>
        <v>0</v>
      </c>
      <c r="H46" s="30"/>
      <c r="I46" s="30"/>
    </row>
    <row r="47" spans="1:9" ht="15" customHeight="1" x14ac:dyDescent="0.2">
      <c r="B47" s="66" t="s">
        <v>68</v>
      </c>
      <c r="D47" s="30"/>
      <c r="E47"/>
      <c r="F47" s="30">
        <f>IF($I$9="LEA",ROUND('Ret Contr Input - LEA'!M73,0),IF($I$9="MCVC",ROUND('Ret Contr Input - MCVC'!M73,0),IF($I$9="RESA",ROUND('Ret Contr Input - RESA'!M54,0),0)))</f>
        <v>0</v>
      </c>
      <c r="H47" s="30"/>
      <c r="I47" s="30"/>
    </row>
    <row r="48" spans="1:9" ht="15" customHeight="1" x14ac:dyDescent="0.2">
      <c r="B48" s="66" t="s">
        <v>69</v>
      </c>
      <c r="D48" s="30"/>
      <c r="E48"/>
      <c r="F48" s="30">
        <f>IF($I$9="LEA",ROUND('Ret Contr Input - LEA'!M74,0),IF($I$9="MCVC",ROUND('Ret Contr Input - MCVC'!M74,0),IF($I$9="RESA",ROUND('Ret Contr Input - RESA'!M55,0),0)))</f>
        <v>0</v>
      </c>
      <c r="H48" s="30"/>
      <c r="I48" s="30"/>
    </row>
    <row r="49" spans="1:10" ht="15" customHeight="1" x14ac:dyDescent="0.2">
      <c r="B49" s="66" t="s">
        <v>70</v>
      </c>
      <c r="D49" s="30"/>
      <c r="E49"/>
      <c r="F49" s="30">
        <f>IF($I$9="LEA",ROUND('Ret Contr Input - LEA'!M75,0),IF($I$9="MCVC",ROUND('Ret Contr Input - MCVC'!M75,0),IF($I$9="RESA",ROUND('Ret Contr Input - RESA'!M56,0),0)))</f>
        <v>0</v>
      </c>
      <c r="H49" s="30"/>
      <c r="I49" s="30"/>
    </row>
    <row r="50" spans="1:10" ht="15" customHeight="1" x14ac:dyDescent="0.2">
      <c r="B50" s="66" t="s">
        <v>71</v>
      </c>
      <c r="D50" s="30"/>
      <c r="E50"/>
      <c r="F50" s="30">
        <f>IF($I$9="LEA",ROUND('Ret Contr Input - LEA'!M76,0),IF($I$9="MCVC",ROUND('Ret Contr Input - MCVC'!M76,0),IF($I$9="RESA",ROUND('Ret Contr Input - RESA'!M57,0),0)))</f>
        <v>0</v>
      </c>
      <c r="H50" s="30"/>
      <c r="I50" s="30"/>
    </row>
    <row r="51" spans="1:10" ht="15" customHeight="1" x14ac:dyDescent="0.2">
      <c r="B51" s="66" t="s">
        <v>72</v>
      </c>
      <c r="D51" s="30"/>
      <c r="E51"/>
      <c r="F51" s="30">
        <f>IF($I$9="LEA",ROUND('Ret Contr Input - LEA'!M77,0),IF($I$9="MCVC",ROUND('Ret Contr Input - MCVC'!M77,0),IF($I$9="RESA",ROUND('Ret Contr Input - RESA'!M58,0),0)))</f>
        <v>0</v>
      </c>
      <c r="H51" s="30"/>
      <c r="I51" s="30"/>
    </row>
    <row r="52" spans="1:10" ht="15" customHeight="1" x14ac:dyDescent="0.2">
      <c r="B52" s="66" t="s">
        <v>73</v>
      </c>
      <c r="D52" s="30"/>
      <c r="E52"/>
      <c r="F52" s="30">
        <f>IF($I$9="LEA",ROUND('Ret Contr Input - LEA'!M78,0),IF($I$9="MCVC",ROUND('Ret Contr Input - MCVC'!M78,0),IF($I$9="RESA",ROUND('Ret Contr Input - RESA'!M59,0),0)))</f>
        <v>0</v>
      </c>
      <c r="H52" s="30"/>
      <c r="I52" s="30"/>
    </row>
    <row r="53" spans="1:10" ht="15" customHeight="1" x14ac:dyDescent="0.2">
      <c r="B53" s="66" t="s">
        <v>74</v>
      </c>
      <c r="D53" s="30"/>
      <c r="E53"/>
      <c r="F53" s="30">
        <f>IF($I$9="LEA",ROUND('Ret Contr Input - LEA'!M79,0),IF($I$9="MCVC",ROUND('Ret Contr Input - MCVC'!M79,0),IF($I$9="RESA",ROUND('Ret Contr Input - RESA'!M60,0),0)))</f>
        <v>0</v>
      </c>
      <c r="H53" s="30"/>
      <c r="I53" s="30"/>
    </row>
    <row r="54" spans="1:10" ht="15" customHeight="1" x14ac:dyDescent="0.2">
      <c r="B54" s="66" t="s">
        <v>75</v>
      </c>
      <c r="D54" s="30"/>
      <c r="E54"/>
      <c r="F54" s="30">
        <f>IF($I$9="LEA",ROUND('Ret Contr Input - LEA'!M80,0),IF($I$9="MCVC",ROUND('Ret Contr Input - MCVC'!M80,0),IF($I$9="RESA",ROUND('Ret Contr Input - RESA'!M61,0),0)))</f>
        <v>0</v>
      </c>
      <c r="H54" s="30"/>
      <c r="I54" s="30"/>
    </row>
    <row r="55" spans="1:10" ht="15" customHeight="1" x14ac:dyDescent="0.2">
      <c r="B55" s="66" t="s">
        <v>118</v>
      </c>
      <c r="D55" s="30">
        <f>IF(((D43)&lt;(F44+F45+F46+F47+F48+F49+F50+F51+F52+F53+F54)),-((D43)-(F44+F45+F46+F47+F48+F49+F50+F51+F52+F53+F54)),0)</f>
        <v>0</v>
      </c>
      <c r="E55"/>
      <c r="F55" s="108">
        <f>IF(((D43)&gt;(F44+F45+F46+F47+F48+F49+F50+F51+F52+F53+F54)),((D43)-(F44+F45+F46+F47+F48+F49+F50+F51+F52+F53+F54)),0)</f>
        <v>0</v>
      </c>
      <c r="H55" s="69"/>
    </row>
    <row r="56" spans="1:10" ht="15" customHeight="1" thickBot="1" x14ac:dyDescent="0.25">
      <c r="B56" s="66"/>
      <c r="D56" s="30"/>
      <c r="E56"/>
      <c r="F56" s="30"/>
      <c r="H56" s="69"/>
    </row>
    <row r="57" spans="1:10" ht="66.75" customHeight="1" thickBot="1" x14ac:dyDescent="0.3">
      <c r="B57" s="66"/>
      <c r="D57" s="30"/>
      <c r="E57"/>
      <c r="F57" s="30"/>
      <c r="H57" s="453" t="s">
        <v>431</v>
      </c>
      <c r="I57" s="454"/>
      <c r="J57" s="410" t="s">
        <v>537</v>
      </c>
    </row>
    <row r="58" spans="1:10" ht="15" customHeight="1" thickBot="1" x14ac:dyDescent="0.3">
      <c r="B58" s="66"/>
      <c r="D58" s="30"/>
      <c r="E58"/>
      <c r="F58" s="30"/>
      <c r="H58" s="289">
        <v>0</v>
      </c>
      <c r="I58" s="290" t="s">
        <v>326</v>
      </c>
    </row>
    <row r="59" spans="1:10" ht="15" hidden="1" customHeight="1" thickBot="1" x14ac:dyDescent="0.3">
      <c r="B59" s="66"/>
      <c r="D59" s="30"/>
      <c r="E59"/>
      <c r="F59" s="30"/>
      <c r="H59" s="289">
        <v>0</v>
      </c>
      <c r="I59" s="290" t="s">
        <v>327</v>
      </c>
    </row>
    <row r="60" spans="1:10" ht="15" customHeight="1" thickBot="1" x14ac:dyDescent="0.3">
      <c r="A60" s="58" t="s">
        <v>187</v>
      </c>
      <c r="B60" s="60" t="s">
        <v>184</v>
      </c>
      <c r="D60" s="61"/>
      <c r="E60"/>
      <c r="F60"/>
      <c r="H60" s="289">
        <v>0</v>
      </c>
      <c r="I60" s="291" t="s">
        <v>328</v>
      </c>
    </row>
    <row r="61" spans="1:10" ht="15" customHeight="1" thickBot="1" x14ac:dyDescent="0.25">
      <c r="A61" s="58"/>
      <c r="B61" s="60" t="s">
        <v>185</v>
      </c>
      <c r="D61" s="61"/>
      <c r="E61"/>
      <c r="F61"/>
      <c r="H61" s="69"/>
    </row>
    <row r="62" spans="1:10" ht="15" customHeight="1" thickBot="1" x14ac:dyDescent="0.25">
      <c r="A62" s="58"/>
      <c r="B62" s="60"/>
      <c r="D62" s="61"/>
      <c r="E62"/>
      <c r="F62"/>
      <c r="H62" s="132">
        <f>IF(AND($I$9="LEA",'GASB 68 Sch Input CY'!$B$21&gt;0),ROUND('Summary of GASB 68 Activity'!C28,0),IF(AND($I$9="MCVC",'GASB 68 Sch Input CY'!$B$21&gt;0),ROUND('Summary of GASB 68 Activity'!G28,0),IF(AND($I$9="RESA",'GASB 68 Sch Input CY'!$B$21&gt;0),ROUND('Summary of GASB 68 Activity'!E28,0),0)))</f>
        <v>0</v>
      </c>
      <c r="I62" s="23" t="s">
        <v>350</v>
      </c>
    </row>
    <row r="63" spans="1:10" ht="15" customHeight="1" thickBot="1" x14ac:dyDescent="0.25">
      <c r="A63" s="58"/>
      <c r="B63" s="1" t="s">
        <v>11</v>
      </c>
      <c r="D63" s="61">
        <f>IF(H62&gt;0,H62,0)</f>
        <v>0</v>
      </c>
      <c r="E63"/>
      <c r="F63" s="61">
        <f>IF(H62&lt;0,-H62,0)</f>
        <v>0</v>
      </c>
      <c r="H63" s="132">
        <f>IF(AND($I$9="LEA",'GASB 68 Sch Input CY'!$B$21&gt;0),'Net LEA Amounts'!AC31-H58,IF(AND($I$9="MCVC",'GASB 68 Sch Input CY'!$B$21&gt;0),'Net LEA Amounts'!AC29-H60,IF(AND($I$9="RESA",'GASB 68 Sch Input CY'!$B$21&gt;0),'Net LEA Amounts'!#REF!-H59,0)))</f>
        <v>0</v>
      </c>
      <c r="I63" s="23" t="s">
        <v>335</v>
      </c>
    </row>
    <row r="64" spans="1:10" ht="15" customHeight="1" x14ac:dyDescent="0.2">
      <c r="A64" s="58"/>
      <c r="B64" s="64" t="s">
        <v>65</v>
      </c>
      <c r="D64" s="61">
        <f>IF($H$63&gt;=0,ROUND($H$63*H64,0),0)</f>
        <v>0</v>
      </c>
      <c r="E64"/>
      <c r="F64" s="61">
        <f>IF($H$63&lt;0,ROUND(-$H$63*H64,0),0)</f>
        <v>0</v>
      </c>
      <c r="H64" s="109">
        <f>IF($I$9="LEA",'Ret Contr Input - LEA'!F70,IF($I$9="MCVC",'Ret Contr Input - MCVC'!F70,IF($I$9="RESA",'Ret Contr Input - RESA'!F51,0)))</f>
        <v>0</v>
      </c>
    </row>
    <row r="65" spans="1:9" ht="15" customHeight="1" x14ac:dyDescent="0.2">
      <c r="A65" s="58"/>
      <c r="B65" s="64" t="s">
        <v>66</v>
      </c>
      <c r="D65" s="61">
        <f t="shared" ref="D65:D74" si="0">IF($H$63&gt;0,ROUND($H$63*H65,0),0)</f>
        <v>0</v>
      </c>
      <c r="E65"/>
      <c r="F65" s="61">
        <f t="shared" ref="F65:F74" si="1">IF($H$63&lt;0,ROUND(-$H$63*H65,0),0)</f>
        <v>0</v>
      </c>
      <c r="H65" s="110">
        <f>IF($I$9="LEA",'Ret Contr Input - LEA'!F71,IF($I$9="MCVC",'Ret Contr Input - MCVC'!F71,IF($I$9="RESA",'Ret Contr Input - RESA'!F52,0)))</f>
        <v>0</v>
      </c>
      <c r="I65" s="23" t="s">
        <v>83</v>
      </c>
    </row>
    <row r="66" spans="1:9" ht="15" customHeight="1" x14ac:dyDescent="0.2">
      <c r="A66" s="58"/>
      <c r="B66" s="64" t="s">
        <v>67</v>
      </c>
      <c r="D66" s="61">
        <f t="shared" si="0"/>
        <v>0</v>
      </c>
      <c r="E66"/>
      <c r="F66" s="61">
        <f t="shared" si="1"/>
        <v>0</v>
      </c>
      <c r="H66" s="110">
        <f>IF($I$9="LEA",'Ret Contr Input - LEA'!F72,IF($I$9="MCVC",'Ret Contr Input - MCVC'!F72,IF($I$9="RESA",'Ret Contr Input - RESA'!F53,0)))</f>
        <v>0</v>
      </c>
      <c r="I66" s="23" t="s">
        <v>84</v>
      </c>
    </row>
    <row r="67" spans="1:9" ht="15" customHeight="1" x14ac:dyDescent="0.2">
      <c r="A67" s="58"/>
      <c r="B67" s="64" t="s">
        <v>68</v>
      </c>
      <c r="D67" s="61">
        <f t="shared" si="0"/>
        <v>0</v>
      </c>
      <c r="E67"/>
      <c r="F67" s="61">
        <f t="shared" si="1"/>
        <v>0</v>
      </c>
      <c r="H67" s="110">
        <f>IF($I$9="LEA",'Ret Contr Input - LEA'!F73,IF($I$9="MCVC",'Ret Contr Input - MCVC'!F73,IF($I$9="RESA",'Ret Contr Input - RESA'!F54,0)))</f>
        <v>0</v>
      </c>
      <c r="I67" s="23" t="s">
        <v>85</v>
      </c>
    </row>
    <row r="68" spans="1:9" ht="15" customHeight="1" x14ac:dyDescent="0.2">
      <c r="A68" s="58"/>
      <c r="B68" s="64" t="s">
        <v>69</v>
      </c>
      <c r="D68" s="61">
        <f t="shared" si="0"/>
        <v>0</v>
      </c>
      <c r="E68"/>
      <c r="F68" s="61">
        <f t="shared" si="1"/>
        <v>0</v>
      </c>
      <c r="H68" s="110">
        <f>IF($I$9="LEA",'Ret Contr Input - LEA'!F74,IF($I$9="MCVC",'Ret Contr Input - MCVC'!F74,IF($I$9="RESA",'Ret Contr Input - RESA'!F55,0)))</f>
        <v>0</v>
      </c>
    </row>
    <row r="69" spans="1:9" ht="15" customHeight="1" x14ac:dyDescent="0.2">
      <c r="A69" s="58"/>
      <c r="B69" s="64" t="s">
        <v>70</v>
      </c>
      <c r="D69" s="61">
        <f t="shared" si="0"/>
        <v>0</v>
      </c>
      <c r="E69"/>
      <c r="F69" s="61">
        <f t="shared" si="1"/>
        <v>0</v>
      </c>
      <c r="H69" s="110">
        <f>IF($I$9="LEA",'Ret Contr Input - LEA'!F75,IF($I$9="MCVC",'Ret Contr Input - MCVC'!F75,IF($I$9="RESA",'Ret Contr Input - RESA'!F56,0)))</f>
        <v>0</v>
      </c>
    </row>
    <row r="70" spans="1:9" ht="15" customHeight="1" x14ac:dyDescent="0.2">
      <c r="A70" s="58"/>
      <c r="B70" s="64" t="s">
        <v>71</v>
      </c>
      <c r="D70" s="61">
        <f t="shared" si="0"/>
        <v>0</v>
      </c>
      <c r="E70"/>
      <c r="F70" s="61">
        <f t="shared" si="1"/>
        <v>0</v>
      </c>
      <c r="H70" s="110">
        <f>IF($I$9="LEA",'Ret Contr Input - LEA'!F76,IF($I$9="MCVC",'Ret Contr Input - MCVC'!F76,IF($I$9="RESA",'Ret Contr Input - RESA'!F57,0)))</f>
        <v>0</v>
      </c>
      <c r="I70" t="s">
        <v>247</v>
      </c>
    </row>
    <row r="71" spans="1:9" ht="15" customHeight="1" x14ac:dyDescent="0.2">
      <c r="A71" s="58"/>
      <c r="B71" s="64" t="s">
        <v>72</v>
      </c>
      <c r="D71" s="61">
        <f t="shared" si="0"/>
        <v>0</v>
      </c>
      <c r="E71"/>
      <c r="F71" s="61">
        <f t="shared" si="1"/>
        <v>0</v>
      </c>
      <c r="H71" s="110">
        <f>IF($I$9="LEA",'Ret Contr Input - LEA'!F77,IF($I$9="MCVC",'Ret Contr Input - MCVC'!F77,IF($I$9="RESA",'Ret Contr Input - RESA'!F58,0)))</f>
        <v>0</v>
      </c>
    </row>
    <row r="72" spans="1:9" ht="15" customHeight="1" x14ac:dyDescent="0.2">
      <c r="A72" s="58"/>
      <c r="B72" s="64" t="s">
        <v>73</v>
      </c>
      <c r="D72" s="61">
        <f t="shared" si="0"/>
        <v>0</v>
      </c>
      <c r="E72"/>
      <c r="F72" s="61">
        <f t="shared" si="1"/>
        <v>0</v>
      </c>
      <c r="H72" s="110">
        <f>IF($I$9="LEA",'Ret Contr Input - LEA'!F78,IF($I$9="MCVC",'Ret Contr Input - MCVC'!F78,IF($I$9="RESA",'Ret Contr Input - RESA'!F59,0)))</f>
        <v>0</v>
      </c>
    </row>
    <row r="73" spans="1:9" ht="15" customHeight="1" x14ac:dyDescent="0.2">
      <c r="A73" s="58"/>
      <c r="B73" s="64" t="s">
        <v>74</v>
      </c>
      <c r="D73" s="61">
        <f t="shared" si="0"/>
        <v>0</v>
      </c>
      <c r="E73"/>
      <c r="F73" s="61">
        <f t="shared" si="1"/>
        <v>0</v>
      </c>
      <c r="H73" s="110">
        <f>IF($I$9="LEA",'Ret Contr Input - LEA'!F79,IF($I$9="MCVC",'Ret Contr Input - MCVC'!F79,IF($I$9="RESA",'Ret Contr Input - RESA'!F60,0)))</f>
        <v>0</v>
      </c>
    </row>
    <row r="74" spans="1:9" ht="15" customHeight="1" thickBot="1" x14ac:dyDescent="0.25">
      <c r="A74" s="58"/>
      <c r="B74" s="64" t="s">
        <v>75</v>
      </c>
      <c r="D74" s="61">
        <f t="shared" si="0"/>
        <v>0</v>
      </c>
      <c r="E74"/>
      <c r="F74" s="61">
        <f t="shared" si="1"/>
        <v>0</v>
      </c>
      <c r="H74" s="111">
        <f>IF($I$9="LEA",'Ret Contr Input - LEA'!F80,IF($I$9="MCVC",'Ret Contr Input - MCVC'!F80,IF($I$9="RESA",'Ret Contr Input - RESA'!F61,0)))</f>
        <v>0</v>
      </c>
    </row>
    <row r="75" spans="1:9" ht="15" customHeight="1" thickBot="1" x14ac:dyDescent="0.25">
      <c r="A75" s="58"/>
      <c r="B75" s="66" t="s">
        <v>12</v>
      </c>
      <c r="D75" s="61">
        <f>IF(H75&lt;0,-H75,0)</f>
        <v>0</v>
      </c>
      <c r="E75"/>
      <c r="F75" s="61">
        <f>IF(H75&gt;0,H75,0)</f>
        <v>0</v>
      </c>
      <c r="H75" s="63">
        <f>IF(AND($I$9="LEA",'GASB 68 Sch Input CY'!$B$21&gt;0),ROUND('Summary of GASB 68 Activity'!C41,0),IF(AND($I$9="MCVC",'GASB 68 Sch Input CY'!$B$21&gt;0),ROUND('Summary of GASB 68 Activity'!G41,0),IF(AND($I$9="RESA",'GASB 68 Sch Input CY'!$B$21&gt;0),ROUND('Summary of GASB 68 Activity'!E41,0),0)))</f>
        <v>0</v>
      </c>
      <c r="I75" s="23" t="s">
        <v>351</v>
      </c>
    </row>
    <row r="76" spans="1:9" ht="15" customHeight="1" thickBot="1" x14ac:dyDescent="0.25">
      <c r="B76" s="67" t="s">
        <v>76</v>
      </c>
      <c r="D76" s="61">
        <f>IF(H76&lt;0,-H76,0)</f>
        <v>0</v>
      </c>
      <c r="E76"/>
      <c r="F76" s="61">
        <f>IF(H76&gt;0,H76,0)</f>
        <v>0</v>
      </c>
      <c r="H76" s="63">
        <f>IF(AND($I$9="LEA",'GASB 68 Sch Input CY'!$B$21&gt;0),ROUND('Summary of GASB 68 Activity'!C17,0),IF(AND($I$9="MCVC",'GASB 68 Sch Input CY'!$B$21&gt;0),ROUND('Summary of GASB 68 Activity'!G17,0),IF(AND($I$9="RESA",'GASB 68 Sch Input CY'!$B$21&gt;0),ROUND('Summary of GASB 68 Activity'!E17,0),0)))</f>
        <v>0</v>
      </c>
      <c r="I76" s="23" t="s">
        <v>352</v>
      </c>
    </row>
    <row r="77" spans="1:9" ht="15" customHeight="1" x14ac:dyDescent="0.25">
      <c r="B77" s="66" t="s">
        <v>3</v>
      </c>
      <c r="D77" s="133">
        <f>IF((SUM(D63:D76))&lt;(SUM(F63:F76)),((SUM(F63:F76)))-(SUM(D63:D76)),0)</f>
        <v>0</v>
      </c>
      <c r="E77" s="134"/>
      <c r="F77" s="133">
        <f>IF((SUM(D63:D76))&gt;(SUM(F63:F76)),((SUM(D63:D76)))-(SUM(F63:F76)),0)</f>
        <v>0</v>
      </c>
      <c r="H77" s="334">
        <f>D77-F77</f>
        <v>0</v>
      </c>
      <c r="I77" s="27" t="s">
        <v>454</v>
      </c>
    </row>
    <row r="78" spans="1:9" ht="15" customHeight="1" x14ac:dyDescent="0.2">
      <c r="D78"/>
      <c r="E78"/>
      <c r="F78"/>
      <c r="H78" s="30">
        <f>((SUM(D63:D77))-(SUM(F63:F77)))</f>
        <v>0</v>
      </c>
    </row>
    <row r="79" spans="1:9" ht="15" customHeight="1" x14ac:dyDescent="0.2">
      <c r="B79" s="65"/>
      <c r="D79" s="61"/>
      <c r="E79"/>
      <c r="F79"/>
    </row>
    <row r="80" spans="1:9" ht="15" customHeight="1" x14ac:dyDescent="0.2">
      <c r="A80" s="58" t="s">
        <v>240</v>
      </c>
      <c r="B80" s="60" t="s">
        <v>78</v>
      </c>
      <c r="D80" s="61"/>
      <c r="E80"/>
      <c r="F80"/>
    </row>
    <row r="81" spans="2:9" ht="15" customHeight="1" thickBot="1" x14ac:dyDescent="0.3">
      <c r="B81" s="59"/>
      <c r="D81" s="61"/>
      <c r="E81"/>
      <c r="F81"/>
    </row>
    <row r="82" spans="2:9" ht="15" customHeight="1" thickBot="1" x14ac:dyDescent="0.25">
      <c r="B82" s="1" t="s">
        <v>86</v>
      </c>
      <c r="D82" s="114">
        <f>IF(H82&lt;0,-H82,0)</f>
        <v>0</v>
      </c>
      <c r="E82"/>
      <c r="F82" s="30">
        <f>IF(H82&gt;0,H82,0)</f>
        <v>0</v>
      </c>
      <c r="H82" s="132">
        <f>IF($I$9="LEA",ROUND('GASB 68 State Aid Support'!H42,0),IF($I$9="MCVC",ROUND('GASB 68 State Aid Support'!L42,0),IF($I$9="RESA",ROUND('GASB 68 State Aid Support'!J42,0),0)))</f>
        <v>0</v>
      </c>
      <c r="I82" s="23" t="s">
        <v>380</v>
      </c>
    </row>
    <row r="83" spans="2:9" ht="15" customHeight="1" x14ac:dyDescent="0.2">
      <c r="B83" s="66" t="s">
        <v>65</v>
      </c>
      <c r="D83" s="30">
        <f>ROUND($F$82*H83,0)</f>
        <v>0</v>
      </c>
      <c r="E83"/>
      <c r="F83" s="38">
        <f>ROUND($D$82*H83,0)</f>
        <v>0</v>
      </c>
      <c r="H83" s="109">
        <f>IF($I$9="LEA",'Ret Contr Input - LEA'!F70,IF($I$9="MCVC",'Ret Contr Input - MCVC'!F70,IF($I$9="RESA",'Ret Contr Input - RESA'!F51,0)))</f>
        <v>0</v>
      </c>
    </row>
    <row r="84" spans="2:9" ht="15" customHeight="1" x14ac:dyDescent="0.2">
      <c r="B84" s="66" t="s">
        <v>66</v>
      </c>
      <c r="D84" s="30">
        <f t="shared" ref="D84:D93" si="2">ROUND($F$82*H84,0)</f>
        <v>0</v>
      </c>
      <c r="E84"/>
      <c r="F84" s="38">
        <f t="shared" ref="F84:F93" si="3">ROUND($D$82*H84,0)</f>
        <v>0</v>
      </c>
      <c r="H84" s="110">
        <f>IF($I$9="LEA",'Ret Contr Input - LEA'!F71,IF($I$9="MCVC",'Ret Contr Input - MCVC'!F71,IF($I$9="RESA",'Ret Contr Input - RESA'!F52,0)))</f>
        <v>0</v>
      </c>
      <c r="I84" s="23" t="s">
        <v>83</v>
      </c>
    </row>
    <row r="85" spans="2:9" ht="15" customHeight="1" x14ac:dyDescent="0.2">
      <c r="B85" s="66" t="s">
        <v>67</v>
      </c>
      <c r="D85" s="30">
        <f t="shared" si="2"/>
        <v>0</v>
      </c>
      <c r="E85"/>
      <c r="F85" s="38">
        <f t="shared" si="3"/>
        <v>0</v>
      </c>
      <c r="H85" s="110">
        <f>IF($I$9="LEA",'Ret Contr Input - LEA'!F72,IF($I$9="MCVC",'Ret Contr Input - MCVC'!F72,IF($I$9="RESA",'Ret Contr Input - RESA'!F53,0)))</f>
        <v>0</v>
      </c>
      <c r="I85" s="23" t="s">
        <v>84</v>
      </c>
    </row>
    <row r="86" spans="2:9" ht="15" customHeight="1" x14ac:dyDescent="0.2">
      <c r="B86" s="66" t="s">
        <v>68</v>
      </c>
      <c r="D86" s="30">
        <f t="shared" si="2"/>
        <v>0</v>
      </c>
      <c r="E86"/>
      <c r="F86" s="38">
        <f t="shared" si="3"/>
        <v>0</v>
      </c>
      <c r="H86" s="110">
        <f>IF($I$9="LEA",'Ret Contr Input - LEA'!F73,IF($I$9="MCVC",'Ret Contr Input - MCVC'!F73,IF($I$9="RESA",'Ret Contr Input - RESA'!F54,0)))</f>
        <v>0</v>
      </c>
      <c r="I86" s="23" t="s">
        <v>85</v>
      </c>
    </row>
    <row r="87" spans="2:9" ht="15" customHeight="1" x14ac:dyDescent="0.2">
      <c r="B87" s="66" t="s">
        <v>69</v>
      </c>
      <c r="D87" s="30">
        <f t="shared" si="2"/>
        <v>0</v>
      </c>
      <c r="E87"/>
      <c r="F87" s="38">
        <f t="shared" si="3"/>
        <v>0</v>
      </c>
      <c r="H87" s="110">
        <f>IF($I$9="LEA",'Ret Contr Input - LEA'!F74,IF($I$9="MCVC",'Ret Contr Input - MCVC'!F74,IF($I$9="RESA",'Ret Contr Input - RESA'!F55,0)))</f>
        <v>0</v>
      </c>
    </row>
    <row r="88" spans="2:9" ht="15" customHeight="1" x14ac:dyDescent="0.2">
      <c r="B88" s="66" t="s">
        <v>70</v>
      </c>
      <c r="D88" s="30">
        <f t="shared" si="2"/>
        <v>0</v>
      </c>
      <c r="E88"/>
      <c r="F88" s="38">
        <f t="shared" si="3"/>
        <v>0</v>
      </c>
      <c r="H88" s="110">
        <f>IF($I$9="LEA",'Ret Contr Input - LEA'!F75,IF($I$9="MCVC",'Ret Contr Input - MCVC'!F75,IF($I$9="RESA",'Ret Contr Input - RESA'!F56,0)))</f>
        <v>0</v>
      </c>
    </row>
    <row r="89" spans="2:9" ht="15" customHeight="1" x14ac:dyDescent="0.2">
      <c r="B89" s="66" t="s">
        <v>71</v>
      </c>
      <c r="D89" s="30">
        <f t="shared" si="2"/>
        <v>0</v>
      </c>
      <c r="E89"/>
      <c r="F89" s="38">
        <f t="shared" si="3"/>
        <v>0</v>
      </c>
      <c r="H89" s="110">
        <f>IF($I$9="LEA",'Ret Contr Input - LEA'!F76,IF($I$9="MCVC",'Ret Contr Input - MCVC'!F76,IF($I$9="RESA",'Ret Contr Input - RESA'!F57,0)))</f>
        <v>0</v>
      </c>
      <c r="I89" t="s">
        <v>247</v>
      </c>
    </row>
    <row r="90" spans="2:9" ht="15" customHeight="1" x14ac:dyDescent="0.2">
      <c r="B90" s="66" t="s">
        <v>72</v>
      </c>
      <c r="D90" s="30">
        <f t="shared" si="2"/>
        <v>0</v>
      </c>
      <c r="E90"/>
      <c r="F90" s="38">
        <f t="shared" si="3"/>
        <v>0</v>
      </c>
      <c r="H90" s="110">
        <f>IF($I$9="LEA",'Ret Contr Input - LEA'!F77,IF($I$9="MCVC",'Ret Contr Input - MCVC'!F77,IF($I$9="RESA",'Ret Contr Input - RESA'!F58,0)))</f>
        <v>0</v>
      </c>
    </row>
    <row r="91" spans="2:9" ht="15" customHeight="1" x14ac:dyDescent="0.2">
      <c r="B91" s="66" t="s">
        <v>73</v>
      </c>
      <c r="D91" s="30">
        <f t="shared" si="2"/>
        <v>0</v>
      </c>
      <c r="E91"/>
      <c r="F91" s="38">
        <f t="shared" si="3"/>
        <v>0</v>
      </c>
      <c r="H91" s="110">
        <f>IF($I$9="LEA",'Ret Contr Input - LEA'!F78,IF($I$9="MCVC",'Ret Contr Input - MCVC'!F78,IF($I$9="RESA",'Ret Contr Input - RESA'!F59,0)))</f>
        <v>0</v>
      </c>
    </row>
    <row r="92" spans="2:9" ht="15" customHeight="1" x14ac:dyDescent="0.2">
      <c r="B92" s="66" t="s">
        <v>74</v>
      </c>
      <c r="D92" s="30">
        <f t="shared" si="2"/>
        <v>0</v>
      </c>
      <c r="E92"/>
      <c r="F92" s="38">
        <f t="shared" si="3"/>
        <v>0</v>
      </c>
      <c r="H92" s="110">
        <f>IF($I$9="LEA",'Ret Contr Input - LEA'!F79,IF($I$9="MCVC",'Ret Contr Input - MCVC'!F79,IF($I$9="RESA",'Ret Contr Input - RESA'!F60,0)))</f>
        <v>0</v>
      </c>
    </row>
    <row r="93" spans="2:9" ht="15" customHeight="1" thickBot="1" x14ac:dyDescent="0.25">
      <c r="B93" s="66" t="s">
        <v>75</v>
      </c>
      <c r="D93" s="30">
        <f t="shared" si="2"/>
        <v>0</v>
      </c>
      <c r="E93"/>
      <c r="F93" s="38">
        <f t="shared" si="3"/>
        <v>0</v>
      </c>
      <c r="H93" s="111">
        <f>IF($I$9="LEA",'Ret Contr Input - LEA'!F80,IF($I$9="MCVC",'Ret Contr Input - MCVC'!F80,IF($I$9="RESA",'Ret Contr Input - RESA'!F61,0)))</f>
        <v>0</v>
      </c>
    </row>
    <row r="94" spans="2:9" ht="15" customHeight="1" x14ac:dyDescent="0.2">
      <c r="B94" s="66" t="s">
        <v>118</v>
      </c>
      <c r="D94" s="61">
        <f>IF((SUM(D82:D93))&lt;(SUM(F82:F93)),((SUM(F82:F93)))-(SUM(D82:D93)),0)</f>
        <v>0</v>
      </c>
      <c r="E94"/>
      <c r="F94" s="61">
        <f>IF((SUM(D82:D93))&gt;(SUM(F82:F93)),((SUM(D82:D93)))-(SUM(F82:F93)),0)</f>
        <v>0</v>
      </c>
      <c r="H94" s="69"/>
    </row>
    <row r="95" spans="2:9" ht="15" customHeight="1" x14ac:dyDescent="0.2">
      <c r="B95" s="64"/>
      <c r="D95" s="61"/>
      <c r="E95"/>
      <c r="F95" s="30"/>
    </row>
    <row r="96" spans="2:9" ht="15" customHeight="1" x14ac:dyDescent="0.25">
      <c r="B96" s="59" t="s">
        <v>80</v>
      </c>
      <c r="D96" s="61"/>
      <c r="E96"/>
      <c r="F96"/>
    </row>
    <row r="97" spans="1:9" ht="15" customHeight="1" x14ac:dyDescent="0.25">
      <c r="B97" s="59" t="s">
        <v>81</v>
      </c>
      <c r="D97" s="61"/>
      <c r="E97"/>
      <c r="F97"/>
    </row>
    <row r="98" spans="1:9" ht="15" customHeight="1" x14ac:dyDescent="0.25">
      <c r="B98" s="59" t="s">
        <v>82</v>
      </c>
      <c r="D98" s="61"/>
      <c r="E98"/>
      <c r="F98"/>
    </row>
    <row r="99" spans="1:9" ht="15" customHeight="1" x14ac:dyDescent="0.25">
      <c r="B99" s="59"/>
      <c r="D99" s="61"/>
      <c r="E99"/>
      <c r="F99"/>
    </row>
    <row r="100" spans="1:9" ht="15" customHeight="1" x14ac:dyDescent="0.25">
      <c r="B100" s="59"/>
      <c r="D100" s="61"/>
      <c r="E100"/>
      <c r="F100"/>
    </row>
    <row r="101" spans="1:9" ht="15" customHeight="1" thickBot="1" x14ac:dyDescent="0.25">
      <c r="B101" s="70" t="s">
        <v>2</v>
      </c>
      <c r="C101" s="71"/>
      <c r="D101" s="72">
        <f>SUM(D8:D100)</f>
        <v>0</v>
      </c>
      <c r="E101" s="73"/>
      <c r="F101" s="72">
        <f>SUM(F8:F100)</f>
        <v>0</v>
      </c>
      <c r="H101" s="30">
        <f>D101-F101</f>
        <v>0</v>
      </c>
    </row>
    <row r="102" spans="1:9" ht="15.75" thickTop="1" x14ac:dyDescent="0.2"/>
    <row r="103" spans="1:9" ht="25.5" customHeight="1" x14ac:dyDescent="0.25">
      <c r="A103" s="76"/>
      <c r="B103" s="76"/>
      <c r="E103" s="77"/>
      <c r="F103" s="78">
        <f>F101-D101</f>
        <v>0</v>
      </c>
      <c r="G103" s="79" t="s">
        <v>8</v>
      </c>
      <c r="H103" s="80"/>
      <c r="I103" s="81"/>
    </row>
    <row r="104" spans="1:9" x14ac:dyDescent="0.2">
      <c r="E104" s="82"/>
      <c r="F104" s="24"/>
      <c r="G104" s="83" t="s">
        <v>9</v>
      </c>
      <c r="I104" s="84"/>
    </row>
    <row r="105" spans="1:9" ht="17.25" x14ac:dyDescent="0.35">
      <c r="A105" s="75"/>
      <c r="B105" s="75"/>
      <c r="C105" s="85"/>
      <c r="D105" s="85"/>
      <c r="E105" s="86"/>
      <c r="F105" s="87"/>
      <c r="G105" s="88"/>
      <c r="H105" s="88"/>
      <c r="I105" s="89"/>
    </row>
    <row r="107" spans="1:9" ht="18" thickBot="1" x14ac:dyDescent="0.4">
      <c r="A107" s="74"/>
      <c r="B107" s="74"/>
      <c r="C107" s="75"/>
      <c r="D107" s="75"/>
      <c r="E107" s="75"/>
      <c r="F107" s="75"/>
    </row>
    <row r="108" spans="1:9" ht="18" x14ac:dyDescent="0.25">
      <c r="A108" s="74"/>
      <c r="B108" s="173" t="s">
        <v>127</v>
      </c>
      <c r="C108" s="163"/>
      <c r="D108" s="163"/>
      <c r="E108" s="163"/>
      <c r="F108" s="163"/>
      <c r="G108" s="158"/>
      <c r="H108" s="158"/>
      <c r="I108" s="159"/>
    </row>
    <row r="109" spans="1:9" ht="22.5" customHeight="1" x14ac:dyDescent="0.25">
      <c r="A109" s="85"/>
      <c r="B109" s="164" t="s">
        <v>418</v>
      </c>
      <c r="D109" s="24"/>
      <c r="E109" s="24"/>
      <c r="F109" s="24">
        <f>IF($I$9="LEA",ROUND('Ret Contr Input - LEA'!I81+'Ret Contr Input - LEA'!M81,0),IF($I$9="RESA",ROUND('Ret Contr Input - RESA'!I62+'Ret Contr Input - RESA'!M62,0),IF($I$9="MCVC",ROUND('Ret Contr Input - MCVC'!I81+'Ret Contr Input - MCVC'!M81,0))))</f>
        <v>0</v>
      </c>
      <c r="I109" s="160"/>
    </row>
    <row r="110" spans="1:9" ht="34.5" customHeight="1" x14ac:dyDescent="0.35">
      <c r="B110" s="165" t="s">
        <v>419</v>
      </c>
      <c r="C110" s="75"/>
      <c r="D110" s="24"/>
      <c r="E110" s="75"/>
      <c r="F110" s="24">
        <f>-F27-F28-F29-F30-F31-F32-F33-F34-F35-F36-F37-F38+D27+D28+D29+D30+D31+D32+D33+D34+D35+D36+D37+D38</f>
        <v>0</v>
      </c>
      <c r="I110" s="160"/>
    </row>
    <row r="111" spans="1:9" ht="17.25" x14ac:dyDescent="0.35">
      <c r="A111" s="75"/>
      <c r="B111" s="164" t="s">
        <v>420</v>
      </c>
      <c r="D111" s="24"/>
      <c r="E111" s="24"/>
      <c r="F111" s="28">
        <f>-F44-F45-F46-F47-F48-F49-F50-F51-F52-F53-F54-F55+D44+D45+D46+D47+D48+D49+D50+D51+D52+D53+D54+D55</f>
        <v>0</v>
      </c>
      <c r="I111" s="160"/>
    </row>
    <row r="112" spans="1:9" ht="17.25" x14ac:dyDescent="0.35">
      <c r="A112" s="75"/>
      <c r="B112" s="164" t="s">
        <v>421</v>
      </c>
      <c r="D112" s="24"/>
      <c r="E112" s="24"/>
      <c r="F112" s="24">
        <f>SUM(F109:F111)</f>
        <v>0</v>
      </c>
      <c r="I112" s="160"/>
    </row>
    <row r="113" spans="1:13" x14ac:dyDescent="0.2">
      <c r="B113" s="164" t="s">
        <v>422</v>
      </c>
      <c r="D113" s="24"/>
      <c r="E113" s="24"/>
      <c r="F113" s="24">
        <f>D64+D65+D66+D67+D68+D69+D70+D71+D72+D73+D74-F64-F65-F66-F67-F68-F69-F70-F71-F72-F73-F74</f>
        <v>0</v>
      </c>
      <c r="I113" s="160"/>
    </row>
    <row r="114" spans="1:13" x14ac:dyDescent="0.2">
      <c r="B114" s="164" t="s">
        <v>423</v>
      </c>
      <c r="D114" s="24"/>
      <c r="E114" s="24"/>
      <c r="F114" s="28">
        <f>D83+D84+D85+D86+D87+D88+D89+D90+D91+D92+D93+D94-F83-F84-F85-F86-F87-F88-F89-F90-F91-F92-F93-F94</f>
        <v>0</v>
      </c>
      <c r="I114" s="160"/>
    </row>
    <row r="115" spans="1:13" ht="15.75" x14ac:dyDescent="0.25">
      <c r="A115" s="74"/>
      <c r="B115" s="166" t="s">
        <v>424</v>
      </c>
      <c r="C115" s="85"/>
      <c r="D115" s="24"/>
      <c r="E115" s="85"/>
      <c r="F115" s="24">
        <f>SUM(F112:F114)</f>
        <v>0</v>
      </c>
      <c r="I115" s="160"/>
    </row>
    <row r="116" spans="1:13" ht="15.75" x14ac:dyDescent="0.25">
      <c r="A116" s="85"/>
      <c r="B116" s="167"/>
      <c r="D116" s="24"/>
      <c r="E116" s="24"/>
      <c r="F116" s="24"/>
      <c r="I116" s="160"/>
    </row>
    <row r="117" spans="1:13" ht="17.25" x14ac:dyDescent="0.35">
      <c r="B117" s="166" t="s">
        <v>128</v>
      </c>
      <c r="C117" s="75"/>
      <c r="D117" s="24">
        <f>IF($I$9="LEA",'Net LEA Amounts'!AC31,IF($I$9="RESA",'Net LEA Amounts'!#REF!,IF($I$9="MCVC",'Net LEA Amounts'!AC29,0)))</f>
        <v>0</v>
      </c>
      <c r="E117" s="75"/>
      <c r="F117" s="75"/>
      <c r="I117" s="160"/>
    </row>
    <row r="118" spans="1:13" ht="17.25" x14ac:dyDescent="0.35">
      <c r="A118" s="75"/>
      <c r="B118" s="166" t="s">
        <v>129</v>
      </c>
      <c r="D118" s="28">
        <f>IF($I$9="LEA",'GASB 68 State Aid Support'!H42,IF($I$9="RESA",'GASB 68 State Aid Support'!J42,IF($I$9="MCVC",'GASB 68 State Aid Support'!L42,0)))</f>
        <v>0</v>
      </c>
      <c r="E118" s="24"/>
      <c r="F118" s="24"/>
      <c r="I118" s="160"/>
    </row>
    <row r="119" spans="1:13" x14ac:dyDescent="0.2">
      <c r="B119" s="164" t="s">
        <v>154</v>
      </c>
      <c r="D119" s="24"/>
      <c r="E119" s="24"/>
      <c r="F119" s="28">
        <f>SUM(D117:D118)</f>
        <v>0</v>
      </c>
      <c r="I119" s="160"/>
    </row>
    <row r="120" spans="1:13" ht="16.5" customHeight="1" thickBot="1" x14ac:dyDescent="0.3">
      <c r="A120" s="74"/>
      <c r="B120" s="166" t="s">
        <v>130</v>
      </c>
      <c r="C120" s="85"/>
      <c r="D120" s="85"/>
      <c r="E120" s="85"/>
      <c r="F120" s="298">
        <f>F115-F119</f>
        <v>0</v>
      </c>
      <c r="G120" s="39" t="s">
        <v>441</v>
      </c>
      <c r="H120" s="39"/>
      <c r="I120" s="168"/>
      <c r="J120" s="91"/>
      <c r="K120" s="91"/>
      <c r="L120" s="91"/>
      <c r="M120" s="91"/>
    </row>
    <row r="121" spans="1:13" ht="17.25" thickTop="1" thickBot="1" x14ac:dyDescent="0.3">
      <c r="A121" s="85"/>
      <c r="B121" s="169"/>
      <c r="C121" s="98"/>
      <c r="D121" s="170"/>
      <c r="E121" s="170"/>
      <c r="F121" s="170"/>
      <c r="G121" s="171"/>
      <c r="H121" s="171"/>
      <c r="I121" s="172"/>
      <c r="J121" s="91"/>
      <c r="K121" s="91"/>
      <c r="L121" s="91"/>
      <c r="M121" s="91"/>
    </row>
    <row r="122" spans="1:13" ht="17.25" x14ac:dyDescent="0.35">
      <c r="C122" s="75"/>
      <c r="D122" s="75"/>
      <c r="E122" s="75"/>
      <c r="F122" s="75"/>
      <c r="G122" s="91"/>
      <c r="H122" s="91"/>
      <c r="I122" s="91"/>
      <c r="J122" s="91"/>
      <c r="K122" s="91"/>
      <c r="L122" s="91"/>
      <c r="M122" s="91"/>
    </row>
    <row r="123" spans="1:13" ht="17.25" x14ac:dyDescent="0.35">
      <c r="A123" s="75"/>
      <c r="B123" s="75"/>
    </row>
    <row r="124" spans="1:13" ht="15.75" thickBot="1" x14ac:dyDescent="0.25"/>
    <row r="125" spans="1:13" ht="18" x14ac:dyDescent="0.25">
      <c r="A125" s="74"/>
      <c r="B125" s="173" t="s">
        <v>464</v>
      </c>
      <c r="C125" s="158"/>
      <c r="D125" s="353"/>
      <c r="E125" s="354"/>
      <c r="F125" s="85"/>
    </row>
    <row r="126" spans="1:13" ht="15.75" x14ac:dyDescent="0.25">
      <c r="A126" s="85"/>
      <c r="B126" s="355"/>
      <c r="C126" s="85"/>
      <c r="D126" s="85"/>
      <c r="E126" s="356"/>
    </row>
    <row r="127" spans="1:13" ht="17.25" x14ac:dyDescent="0.35">
      <c r="B127" s="164" t="s">
        <v>465</v>
      </c>
      <c r="C127" s="352"/>
      <c r="D127" s="346">
        <f>_xlfn.IFS(I9="LEA",'Net LEA Amounts'!K13,I9="RESA",'Net LEA Amounts'!#REF!,I9="MCVC",'Net LEA Amounts'!I13)</f>
        <v>0</v>
      </c>
      <c r="E127" s="358"/>
    </row>
    <row r="128" spans="1:13" x14ac:dyDescent="0.2">
      <c r="A128" s="74"/>
      <c r="B128" s="164" t="s">
        <v>466</v>
      </c>
      <c r="D128" s="391">
        <f>_xlfn.IFS(I9="LEA",'Net LEA Amounts'!K48,I9="RESA",'Net LEA Amounts'!#REF!,I9="MCVC",'Net LEA Amounts'!I48)</f>
        <v>0</v>
      </c>
      <c r="E128" s="357"/>
    </row>
    <row r="129" spans="1:5" ht="15.75" x14ac:dyDescent="0.25">
      <c r="A129" s="85"/>
      <c r="B129" s="164" t="s">
        <v>467</v>
      </c>
      <c r="D129" s="346">
        <f>D127-D128</f>
        <v>0</v>
      </c>
      <c r="E129" s="357"/>
    </row>
    <row r="130" spans="1:5" x14ac:dyDescent="0.2">
      <c r="B130" s="355"/>
      <c r="D130" s="24"/>
      <c r="E130" s="357"/>
    </row>
    <row r="131" spans="1:5" ht="17.25" x14ac:dyDescent="0.35">
      <c r="A131" s="75"/>
      <c r="B131" s="164" t="s">
        <v>469</v>
      </c>
      <c r="D131" s="24">
        <f>SUM(D64:D74,D83:D94)-SUM(F64:F74,F83:F94)</f>
        <v>0</v>
      </c>
      <c r="E131" s="357"/>
    </row>
    <row r="132" spans="1:5" x14ac:dyDescent="0.2">
      <c r="B132" s="164" t="s">
        <v>468</v>
      </c>
      <c r="D132" s="24">
        <f>SUM(F77,F82)-SUM(D77,D82)</f>
        <v>0</v>
      </c>
      <c r="E132" s="357"/>
    </row>
    <row r="133" spans="1:5" ht="18" thickBot="1" x14ac:dyDescent="0.4">
      <c r="A133" s="74"/>
      <c r="B133" s="359"/>
      <c r="C133" s="98"/>
      <c r="D133" s="170"/>
      <c r="E133" s="360"/>
    </row>
    <row r="134" spans="1:5" ht="15.75" x14ac:dyDescent="0.25">
      <c r="A134" s="85"/>
      <c r="B134" s="85"/>
    </row>
    <row r="136" spans="1:5" ht="17.25" x14ac:dyDescent="0.35">
      <c r="A136" s="75"/>
      <c r="B136" s="75"/>
    </row>
    <row r="138" spans="1:5" x14ac:dyDescent="0.2">
      <c r="A138" s="74"/>
      <c r="B138" s="74"/>
    </row>
    <row r="139" spans="1:5" ht="15.75" x14ac:dyDescent="0.25">
      <c r="A139" s="76"/>
      <c r="B139" s="76"/>
    </row>
  </sheetData>
  <sheetProtection algorithmName="SHA-512" hashValue="/MIqsARI/iow/g82ifvrOfLA2HBiPz8m8W6rlZczGKMR2Ipikk9/U+h0Yq95scILa8/10ampgxuBMWWmo27Nsg==" saltValue="KxmzgB0rAMxOFAEO0VUVsA==" spinCount="100000" sheet="1" objects="1" scenarios="1"/>
  <mergeCells count="7">
    <mergeCell ref="H57:I57"/>
    <mergeCell ref="A4:H4"/>
    <mergeCell ref="A1:G1"/>
    <mergeCell ref="A2:G2"/>
    <mergeCell ref="H1:L2"/>
    <mergeCell ref="I25:N26"/>
    <mergeCell ref="A3:G3"/>
  </mergeCells>
  <phoneticPr fontId="0" type="noConversion"/>
  <dataValidations count="1">
    <dataValidation type="list" allowBlank="1" showInputMessage="1" showErrorMessage="1" errorTitle="Invalid Entity Type" error="You have entered an invalid entity type.  Please select one of the following options:_x000a__x000a_LEA_x000a_MCVC_x000a_" promptTitle="Validy Entity Type" prompt="Please select a valid entity type from the drop down menu in order to link the GASB 68 entries to the appropriate entity data within this workbook.  _x000a__x000a_LEA (Fiscal agent or non-fiscal agent LEA)_x000a_MCVC_x000a_" sqref="I9" xr:uid="{00000000-0002-0000-0000-000000000000}">
      <formula1>Valid_Entity_Type</formula1>
    </dataValidation>
  </dataValidations>
  <pageMargins left="1" right="0.5" top="0.5" bottom="0.5" header="0.5" footer="0.5"/>
  <pageSetup scale="64" orientation="portrait" cellComments="asDisplayed" horizontalDpi="204" verticalDpi="196" r:id="rId1"/>
  <headerFooter alignWithMargins="0"/>
  <rowBreaks count="2" manualBreakCount="2">
    <brk id="8" max="5" man="1"/>
    <brk id="78" max="6" man="1"/>
  </rowBreaks>
  <cellWatches>
    <cellWatch r="H101"/>
    <cellWatch r="F120"/>
    <cellWatch r="H77"/>
  </cellWatche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59999389629810485"/>
  </sheetPr>
  <dimension ref="A1:H21"/>
  <sheetViews>
    <sheetView zoomScale="70" zoomScaleNormal="70" workbookViewId="0">
      <selection activeCell="Q16" sqref="Q16"/>
    </sheetView>
  </sheetViews>
  <sheetFormatPr defaultColWidth="8.88671875" defaultRowHeight="15" x14ac:dyDescent="0.2"/>
  <cols>
    <col min="1" max="1" width="5.88671875" customWidth="1"/>
    <col min="4" max="4" width="15.33203125" customWidth="1"/>
    <col min="5" max="5" width="2.33203125" customWidth="1"/>
    <col min="6" max="6" width="14.77734375" customWidth="1"/>
    <col min="7" max="7" width="16.88671875" customWidth="1"/>
    <col min="8" max="8" width="17.5546875" customWidth="1"/>
    <col min="10" max="10" width="11.44140625" customWidth="1"/>
    <col min="11" max="11" width="3.21875" customWidth="1"/>
    <col min="12" max="12" width="11.77734375" customWidth="1"/>
    <col min="13" max="13" width="2.21875" customWidth="1"/>
    <col min="14" max="14" width="10.88671875" customWidth="1"/>
    <col min="15" max="15" width="1.77734375" customWidth="1"/>
    <col min="16" max="16" width="12.44140625" customWidth="1"/>
  </cols>
  <sheetData>
    <row r="1" spans="1:8" ht="18" x14ac:dyDescent="0.25">
      <c r="A1" s="20" t="s">
        <v>18</v>
      </c>
    </row>
    <row r="2" spans="1:8" ht="18" x14ac:dyDescent="0.25">
      <c r="A2" s="20" t="s">
        <v>461</v>
      </c>
    </row>
    <row r="3" spans="1:8" ht="18" x14ac:dyDescent="0.25">
      <c r="A3" s="20"/>
    </row>
    <row r="4" spans="1:8" ht="15.75" x14ac:dyDescent="0.25">
      <c r="A4" s="27" t="s">
        <v>239</v>
      </c>
    </row>
    <row r="6" spans="1:8" ht="15.75" x14ac:dyDescent="0.25">
      <c r="A6" s="22" t="s">
        <v>463</v>
      </c>
    </row>
    <row r="8" spans="1:8" x14ac:dyDescent="0.2">
      <c r="B8" s="23" t="s">
        <v>160</v>
      </c>
      <c r="G8" s="95">
        <v>0</v>
      </c>
      <c r="H8" s="23" t="s">
        <v>379</v>
      </c>
    </row>
    <row r="10" spans="1:8" ht="15.75" x14ac:dyDescent="0.25">
      <c r="B10" s="23" t="s">
        <v>161</v>
      </c>
      <c r="G10" s="24">
        <f>'GASB 68 Sch Input CY'!B38</f>
        <v>407182995</v>
      </c>
      <c r="H10" s="27" t="s">
        <v>162</v>
      </c>
    </row>
    <row r="12" spans="1:8" ht="16.5" thickBot="1" x14ac:dyDescent="0.3">
      <c r="B12" s="23" t="s">
        <v>163</v>
      </c>
      <c r="G12" s="94">
        <f>IF(G10=0,0,G8/G10)</f>
        <v>0</v>
      </c>
    </row>
    <row r="13" spans="1:8" ht="15.75" thickTop="1" x14ac:dyDescent="0.2"/>
    <row r="14" spans="1:8" ht="15.75" x14ac:dyDescent="0.25">
      <c r="A14" s="22" t="s">
        <v>458</v>
      </c>
    </row>
    <row r="16" spans="1:8" x14ac:dyDescent="0.2">
      <c r="B16" s="23" t="s">
        <v>160</v>
      </c>
      <c r="G16" s="95">
        <v>0</v>
      </c>
      <c r="H16" s="23" t="s">
        <v>164</v>
      </c>
    </row>
    <row r="18" spans="2:8" ht="15.75" x14ac:dyDescent="0.25">
      <c r="B18" s="23" t="s">
        <v>161</v>
      </c>
      <c r="G18" s="24">
        <f>'GASB 68 Sch Input PY '!B38</f>
        <v>412124000</v>
      </c>
      <c r="H18" s="27" t="s">
        <v>162</v>
      </c>
    </row>
    <row r="20" spans="2:8" ht="16.5" thickBot="1" x14ac:dyDescent="0.3">
      <c r="B20" s="23" t="s">
        <v>163</v>
      </c>
      <c r="G20" s="94">
        <f>IF(G18=0,0,G16/G18)</f>
        <v>0</v>
      </c>
    </row>
    <row r="21" spans="2:8" ht="15.75" thickTop="1" x14ac:dyDescent="0.2"/>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59999389629810485"/>
  </sheetPr>
  <dimension ref="A1:H21"/>
  <sheetViews>
    <sheetView zoomScale="70" zoomScaleNormal="70" workbookViewId="0">
      <selection activeCell="G17" sqref="G17"/>
    </sheetView>
  </sheetViews>
  <sheetFormatPr defaultColWidth="8.88671875" defaultRowHeight="15" x14ac:dyDescent="0.2"/>
  <cols>
    <col min="1" max="1" width="5.88671875" customWidth="1"/>
    <col min="4" max="4" width="15.33203125" customWidth="1"/>
    <col min="5" max="5" width="2.33203125" customWidth="1"/>
    <col min="6" max="6" width="14.77734375" customWidth="1"/>
    <col min="7" max="7" width="16.88671875" customWidth="1"/>
    <col min="8" max="8" width="15" customWidth="1"/>
    <col min="10" max="10" width="10.77734375" customWidth="1"/>
    <col min="11" max="11" width="3.21875" customWidth="1"/>
    <col min="12" max="12" width="11.77734375" customWidth="1"/>
  </cols>
  <sheetData>
    <row r="1" spans="1:8" ht="18" x14ac:dyDescent="0.25">
      <c r="A1" s="20" t="s">
        <v>18</v>
      </c>
    </row>
    <row r="2" spans="1:8" ht="18" x14ac:dyDescent="0.25">
      <c r="A2" s="20" t="str">
        <f>'Ret Contr Input - MCVC'!A5</f>
        <v>Password for protected sheet: BOE2024</v>
      </c>
    </row>
    <row r="3" spans="1:8" ht="18" x14ac:dyDescent="0.25">
      <c r="A3" s="20"/>
    </row>
    <row r="4" spans="1:8" ht="15.75" x14ac:dyDescent="0.25">
      <c r="A4" s="27" t="s">
        <v>470</v>
      </c>
    </row>
    <row r="6" spans="1:8" ht="15.75" x14ac:dyDescent="0.25">
      <c r="A6" s="22" t="s">
        <v>552</v>
      </c>
    </row>
    <row r="7" spans="1:8" x14ac:dyDescent="0.2">
      <c r="H7" t="s">
        <v>177</v>
      </c>
    </row>
    <row r="8" spans="1:8" x14ac:dyDescent="0.2">
      <c r="B8" s="23" t="s">
        <v>165</v>
      </c>
      <c r="G8" s="117">
        <v>0</v>
      </c>
      <c r="H8" s="23" t="s">
        <v>164</v>
      </c>
    </row>
    <row r="10" spans="1:8" ht="15.75" x14ac:dyDescent="0.25">
      <c r="B10" s="23" t="s">
        <v>161</v>
      </c>
      <c r="G10" s="24">
        <f>'GASB 68 Sch Input CY'!B38</f>
        <v>407182995</v>
      </c>
      <c r="H10" s="27" t="s">
        <v>162</v>
      </c>
    </row>
    <row r="12" spans="1:8" ht="16.5" thickBot="1" x14ac:dyDescent="0.3">
      <c r="B12" s="23" t="s">
        <v>166</v>
      </c>
      <c r="G12" s="94">
        <f>IF(G10=0,0,G8/G10)</f>
        <v>0</v>
      </c>
    </row>
    <row r="13" spans="1:8" ht="15.75" thickTop="1" x14ac:dyDescent="0.2"/>
    <row r="14" spans="1:8" ht="15.75" x14ac:dyDescent="0.25">
      <c r="A14" s="22" t="s">
        <v>540</v>
      </c>
    </row>
    <row r="15" spans="1:8" x14ac:dyDescent="0.2">
      <c r="H15" t="s">
        <v>177</v>
      </c>
    </row>
    <row r="16" spans="1:8" x14ac:dyDescent="0.2">
      <c r="B16" s="23" t="s">
        <v>165</v>
      </c>
      <c r="G16" s="117">
        <v>0</v>
      </c>
      <c r="H16" s="23" t="s">
        <v>164</v>
      </c>
    </row>
    <row r="18" spans="2:8" ht="15.75" x14ac:dyDescent="0.25">
      <c r="B18" s="23" t="s">
        <v>161</v>
      </c>
      <c r="G18" s="24">
        <f>'GASB 68 Sch Input PY '!B38</f>
        <v>412124000</v>
      </c>
      <c r="H18" s="27" t="s">
        <v>162</v>
      </c>
    </row>
    <row r="20" spans="2:8" ht="16.5" thickBot="1" x14ac:dyDescent="0.3">
      <c r="B20" s="23" t="s">
        <v>166</v>
      </c>
      <c r="G20" s="94">
        <f>IF(G18=0,0,G16/G18)</f>
        <v>0</v>
      </c>
    </row>
    <row r="21" spans="2:8" ht="15.75" thickTop="1" x14ac:dyDescent="0.2"/>
  </sheetData>
  <sheetProtection algorithmName="SHA-512" hashValue="xxkikVxA8znvj74NbJVQvZFCtKodbTMMb2C2sQAhxrptwN+C4u/O87gToR3da8IO57bCb5mpbXkdIwZ8fonVGw==" saltValue="DItujJq7eOoTf+8JfBnC0Q==" spinCount="100000" sheet="1" objects="1" scenarios="1"/>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7030A0"/>
  </sheetPr>
  <dimension ref="A1:L52"/>
  <sheetViews>
    <sheetView zoomScaleNormal="100" workbookViewId="0">
      <selection activeCell="I48" sqref="I48"/>
    </sheetView>
  </sheetViews>
  <sheetFormatPr defaultColWidth="8.88671875" defaultRowHeight="15" x14ac:dyDescent="0.2"/>
  <cols>
    <col min="1" max="1" width="35.21875" customWidth="1"/>
    <col min="2" max="2" width="1.77734375" customWidth="1"/>
    <col min="3" max="3" width="11.88671875" customWidth="1"/>
    <col min="4" max="4" width="1.33203125" customWidth="1"/>
    <col min="5" max="5" width="11.88671875" hidden="1" customWidth="1"/>
    <col min="6" max="6" width="1.109375" hidden="1" customWidth="1"/>
    <col min="7" max="7" width="11.88671875" customWidth="1"/>
    <col min="8" max="8" width="1" customWidth="1"/>
    <col min="9" max="9" width="13.5546875" bestFit="1" customWidth="1"/>
    <col min="10" max="10" width="1" customWidth="1"/>
  </cols>
  <sheetData>
    <row r="1" spans="1:12" ht="18" x14ac:dyDescent="0.25">
      <c r="A1" s="20" t="s">
        <v>18</v>
      </c>
    </row>
    <row r="2" spans="1:12" ht="18" x14ac:dyDescent="0.25">
      <c r="A2" s="20" t="str">
        <f>'MCVC Proportion'!A2</f>
        <v>Password for protected sheet: BOE2024</v>
      </c>
    </row>
    <row r="4" spans="1:12" x14ac:dyDescent="0.2">
      <c r="A4" s="476" t="s">
        <v>471</v>
      </c>
      <c r="B4" s="476"/>
      <c r="C4" s="476"/>
      <c r="D4" s="476"/>
      <c r="E4" s="476"/>
      <c r="F4" s="476"/>
      <c r="G4" s="476"/>
      <c r="H4" s="476"/>
      <c r="I4" s="476"/>
      <c r="L4" s="23"/>
    </row>
    <row r="5" spans="1:12" x14ac:dyDescent="0.2">
      <c r="A5" s="476"/>
      <c r="B5" s="476"/>
      <c r="C5" s="476"/>
      <c r="D5" s="476"/>
      <c r="E5" s="476"/>
      <c r="F5" s="476"/>
      <c r="G5" s="476"/>
      <c r="H5" s="476"/>
      <c r="I5" s="476"/>
    </row>
    <row r="6" spans="1:12" x14ac:dyDescent="0.2">
      <c r="A6" s="476"/>
      <c r="B6" s="476"/>
      <c r="C6" s="476"/>
      <c r="D6" s="476"/>
      <c r="E6" s="476"/>
      <c r="F6" s="476"/>
      <c r="G6" s="476"/>
      <c r="H6" s="476"/>
      <c r="I6" s="476"/>
    </row>
    <row r="7" spans="1:12" x14ac:dyDescent="0.2">
      <c r="A7" s="476"/>
      <c r="B7" s="476"/>
      <c r="C7" s="476"/>
      <c r="D7" s="476"/>
      <c r="E7" s="476"/>
      <c r="F7" s="476"/>
      <c r="G7" s="476"/>
      <c r="H7" s="476"/>
      <c r="I7" s="476"/>
    </row>
    <row r="8" spans="1:12" x14ac:dyDescent="0.2">
      <c r="A8" s="476"/>
      <c r="B8" s="476"/>
      <c r="C8" s="476"/>
      <c r="D8" s="476"/>
      <c r="E8" s="476"/>
      <c r="F8" s="476"/>
      <c r="G8" s="476"/>
      <c r="H8" s="476"/>
      <c r="I8" s="476"/>
    </row>
    <row r="9" spans="1:12" x14ac:dyDescent="0.2">
      <c r="A9" s="476"/>
      <c r="B9" s="476"/>
      <c r="C9" s="476"/>
      <c r="D9" s="476"/>
      <c r="E9" s="476"/>
      <c r="F9" s="476"/>
      <c r="G9" s="476"/>
      <c r="H9" s="476"/>
      <c r="I9" s="476"/>
    </row>
    <row r="10" spans="1:12" x14ac:dyDescent="0.2">
      <c r="A10" s="476"/>
      <c r="B10" s="476"/>
      <c r="C10" s="476"/>
      <c r="D10" s="476"/>
      <c r="E10" s="476"/>
      <c r="F10" s="476"/>
      <c r="G10" s="476"/>
      <c r="H10" s="476"/>
      <c r="I10" s="476"/>
    </row>
    <row r="11" spans="1:12" ht="15.75" thickBot="1" x14ac:dyDescent="0.25"/>
    <row r="12" spans="1:12" ht="16.5" thickBot="1" x14ac:dyDescent="0.3">
      <c r="A12" s="486" t="s">
        <v>341</v>
      </c>
      <c r="B12" s="487"/>
      <c r="C12" s="487"/>
      <c r="D12" s="487"/>
      <c r="E12" s="487"/>
      <c r="F12" s="487"/>
      <c r="G12" s="487"/>
      <c r="H12" s="487"/>
      <c r="I12" s="487"/>
      <c r="J12" s="208"/>
    </row>
    <row r="13" spans="1:12" ht="15.75" x14ac:dyDescent="0.25">
      <c r="A13" s="176"/>
      <c r="C13" s="137" t="s">
        <v>326</v>
      </c>
      <c r="D13" s="34"/>
      <c r="E13" s="137" t="s">
        <v>327</v>
      </c>
      <c r="F13" s="34"/>
      <c r="G13" s="137" t="s">
        <v>328</v>
      </c>
      <c r="I13" s="137" t="s">
        <v>5</v>
      </c>
      <c r="J13" s="160"/>
    </row>
    <row r="14" spans="1:12" x14ac:dyDescent="0.2">
      <c r="A14" s="176"/>
      <c r="J14" s="160"/>
    </row>
    <row r="15" spans="1:12" x14ac:dyDescent="0.2">
      <c r="A15" s="105" t="s">
        <v>340</v>
      </c>
      <c r="C15" s="10">
        <v>0</v>
      </c>
      <c r="D15" s="209"/>
      <c r="E15" s="369">
        <v>0</v>
      </c>
      <c r="F15" s="209"/>
      <c r="G15" s="512">
        <v>0</v>
      </c>
      <c r="H15" s="210"/>
      <c r="I15" s="211">
        <f>C15+E15+G15</f>
        <v>0</v>
      </c>
      <c r="J15" s="160"/>
      <c r="K15" s="23" t="s">
        <v>349</v>
      </c>
    </row>
    <row r="16" spans="1:12" x14ac:dyDescent="0.2">
      <c r="A16" s="176"/>
      <c r="C16" s="209"/>
      <c r="D16" s="209"/>
      <c r="E16" s="209"/>
      <c r="F16" s="209"/>
      <c r="G16" s="209"/>
      <c r="H16" s="210"/>
      <c r="I16" s="211"/>
      <c r="J16" s="160"/>
    </row>
    <row r="17" spans="1:11" x14ac:dyDescent="0.2">
      <c r="A17" s="105" t="s">
        <v>337</v>
      </c>
      <c r="C17" s="209">
        <f>C19-C15</f>
        <v>0</v>
      </c>
      <c r="D17" s="209"/>
      <c r="E17" s="209" t="e">
        <f>E19-E15</f>
        <v>#REF!</v>
      </c>
      <c r="F17" s="209"/>
      <c r="G17" s="209">
        <f>G19-G15</f>
        <v>0</v>
      </c>
      <c r="H17" s="210"/>
      <c r="I17" s="211">
        <f>C17+G17</f>
        <v>0</v>
      </c>
      <c r="J17" s="160"/>
      <c r="K17" s="23" t="s">
        <v>346</v>
      </c>
    </row>
    <row r="18" spans="1:11" x14ac:dyDescent="0.2">
      <c r="A18" s="176"/>
      <c r="C18" s="209"/>
      <c r="D18" s="209"/>
      <c r="E18" s="209"/>
      <c r="F18" s="209"/>
      <c r="G18" s="209"/>
      <c r="H18" s="210"/>
      <c r="I18" s="210"/>
      <c r="J18" s="160"/>
    </row>
    <row r="19" spans="1:11" ht="15.75" thickBot="1" x14ac:dyDescent="0.25">
      <c r="A19" s="105" t="s">
        <v>339</v>
      </c>
      <c r="C19" s="212">
        <f>ROUND('Net LEA Amounts'!C31,0)</f>
        <v>0</v>
      </c>
      <c r="D19" s="211"/>
      <c r="E19" s="212" t="e">
        <f>ROUND('Net LEA Amounts'!#REF!,0)</f>
        <v>#REF!</v>
      </c>
      <c r="F19" s="211"/>
      <c r="G19" s="212">
        <f>ROUND('Net LEA Amounts'!C29,0)</f>
        <v>0</v>
      </c>
      <c r="H19" s="211"/>
      <c r="I19" s="212">
        <f>SUM(I15:I18)</f>
        <v>0</v>
      </c>
      <c r="J19" s="160"/>
    </row>
    <row r="20" spans="1:11" ht="6.75" customHeight="1" thickTop="1" thickBot="1" x14ac:dyDescent="0.25">
      <c r="A20" s="205"/>
      <c r="B20" s="98"/>
      <c r="C20" s="6"/>
      <c r="D20" s="6"/>
      <c r="E20" s="6"/>
      <c r="F20" s="6"/>
      <c r="G20" s="6"/>
      <c r="H20" s="98"/>
      <c r="I20" s="98"/>
      <c r="J20" s="161"/>
    </row>
    <row r="21" spans="1:11" x14ac:dyDescent="0.2">
      <c r="A21" s="23"/>
      <c r="C21" s="1"/>
      <c r="D21" s="1"/>
      <c r="E21" s="1"/>
      <c r="F21" s="1"/>
      <c r="G21" s="1"/>
    </row>
    <row r="22" spans="1:11" ht="15.75" thickBot="1" x14ac:dyDescent="0.25">
      <c r="C22" s="1"/>
      <c r="D22" s="1"/>
      <c r="E22" s="1"/>
      <c r="F22" s="1"/>
      <c r="G22" s="1"/>
    </row>
    <row r="23" spans="1:11" ht="16.5" thickBot="1" x14ac:dyDescent="0.3">
      <c r="A23" s="486" t="s">
        <v>336</v>
      </c>
      <c r="B23" s="487"/>
      <c r="C23" s="487"/>
      <c r="D23" s="487"/>
      <c r="E23" s="487"/>
      <c r="F23" s="487"/>
      <c r="G23" s="487"/>
      <c r="H23" s="487"/>
      <c r="I23" s="487"/>
      <c r="J23" s="208"/>
    </row>
    <row r="24" spans="1:11" ht="15.75" x14ac:dyDescent="0.25">
      <c r="A24" s="176"/>
      <c r="C24" s="137" t="str">
        <f>C13</f>
        <v>LEA</v>
      </c>
      <c r="D24" s="34"/>
      <c r="E24" s="137" t="s">
        <v>327</v>
      </c>
      <c r="F24" s="34"/>
      <c r="G24" s="137" t="s">
        <v>328</v>
      </c>
      <c r="I24" s="137" t="s">
        <v>5</v>
      </c>
      <c r="J24" s="160"/>
    </row>
    <row r="25" spans="1:11" x14ac:dyDescent="0.2">
      <c r="A25" s="176"/>
      <c r="J25" s="160"/>
    </row>
    <row r="26" spans="1:11" x14ac:dyDescent="0.2">
      <c r="A26" s="105" t="s">
        <v>340</v>
      </c>
      <c r="C26" s="10">
        <v>0</v>
      </c>
      <c r="D26" s="209"/>
      <c r="E26" s="369">
        <v>0</v>
      </c>
      <c r="F26" s="209"/>
      <c r="G26" s="512">
        <v>0</v>
      </c>
      <c r="H26" s="210"/>
      <c r="I26" s="211">
        <f>C26+E26+G26</f>
        <v>0</v>
      </c>
      <c r="J26" s="160"/>
      <c r="K26" s="23" t="s">
        <v>349</v>
      </c>
    </row>
    <row r="27" spans="1:11" x14ac:dyDescent="0.2">
      <c r="A27" s="176"/>
      <c r="C27" s="209"/>
      <c r="D27" s="209"/>
      <c r="E27" s="209"/>
      <c r="F27" s="209"/>
      <c r="G27" s="209"/>
      <c r="H27" s="210"/>
      <c r="I27" s="211"/>
      <c r="J27" s="160"/>
    </row>
    <row r="28" spans="1:11" x14ac:dyDescent="0.2">
      <c r="A28" s="105" t="s">
        <v>343</v>
      </c>
      <c r="C28" s="209">
        <f>-C26-C30+C32</f>
        <v>0</v>
      </c>
      <c r="D28" s="209"/>
      <c r="E28" s="209" t="e">
        <f>-E26-E30+E32</f>
        <v>#REF!</v>
      </c>
      <c r="F28" s="209"/>
      <c r="G28" s="209">
        <f>-G26-G30+G32</f>
        <v>0</v>
      </c>
      <c r="H28" s="210"/>
      <c r="I28" s="211">
        <f>C28+G28</f>
        <v>0</v>
      </c>
      <c r="J28" s="160"/>
      <c r="K28" s="23" t="s">
        <v>346</v>
      </c>
    </row>
    <row r="29" spans="1:11" x14ac:dyDescent="0.2">
      <c r="A29" s="176"/>
      <c r="C29" s="209"/>
      <c r="D29" s="209"/>
      <c r="E29" s="209"/>
      <c r="F29" s="209"/>
      <c r="G29" s="209"/>
      <c r="H29" s="210"/>
      <c r="I29" s="211"/>
      <c r="J29" s="160"/>
    </row>
    <row r="30" spans="1:11" x14ac:dyDescent="0.2">
      <c r="A30" s="105" t="s">
        <v>344</v>
      </c>
      <c r="C30" s="209">
        <f>'Ret Contr Input - LEA'!I81-'Ret Contr Input - LEA'!M87</f>
        <v>0</v>
      </c>
      <c r="D30" s="209"/>
      <c r="E30" s="209">
        <f>'Ret Contr Input - RESA'!I62-'Ret Contr Input - RESA'!M68</f>
        <v>0</v>
      </c>
      <c r="F30" s="209"/>
      <c r="G30" s="209">
        <f>'Ret Contr Input - MCVC'!I81-'Ret Contr Input - MCVC'!M87</f>
        <v>0</v>
      </c>
      <c r="H30" s="210"/>
      <c r="I30" s="211">
        <f>C30+E30+G30</f>
        <v>0</v>
      </c>
      <c r="J30" s="160"/>
      <c r="K30" s="23" t="s">
        <v>345</v>
      </c>
    </row>
    <row r="31" spans="1:11" x14ac:dyDescent="0.2">
      <c r="A31" s="176"/>
      <c r="C31" s="209"/>
      <c r="D31" s="209"/>
      <c r="E31" s="209"/>
      <c r="F31" s="209"/>
      <c r="G31" s="209"/>
      <c r="H31" s="210"/>
      <c r="I31" s="211"/>
      <c r="J31" s="160"/>
    </row>
    <row r="32" spans="1:11" ht="15.75" thickBot="1" x14ac:dyDescent="0.25">
      <c r="A32" s="105" t="s">
        <v>339</v>
      </c>
      <c r="C32" s="212">
        <f>'Net LEA Amounts'!M31+C30</f>
        <v>0</v>
      </c>
      <c r="D32" s="211"/>
      <c r="E32" s="212" t="e">
        <f>'Net LEA Amounts'!#REF!+E30</f>
        <v>#REF!</v>
      </c>
      <c r="F32" s="211"/>
      <c r="G32" s="212">
        <f>'Net LEA Amounts'!M29+G30</f>
        <v>0</v>
      </c>
      <c r="H32" s="211"/>
      <c r="I32" s="212">
        <f>SUM(I26:I31)</f>
        <v>0</v>
      </c>
      <c r="J32" s="160"/>
    </row>
    <row r="33" spans="1:11" ht="16.5" thickTop="1" thickBot="1" x14ac:dyDescent="0.25">
      <c r="A33" s="205"/>
      <c r="B33" s="98"/>
      <c r="C33" s="6"/>
      <c r="D33" s="6"/>
      <c r="E33" s="6"/>
      <c r="F33" s="6"/>
      <c r="G33" s="6"/>
      <c r="H33" s="98"/>
      <c r="I33" s="98"/>
      <c r="J33" s="161"/>
    </row>
    <row r="34" spans="1:11" x14ac:dyDescent="0.2">
      <c r="C34" s="345"/>
      <c r="D34" s="1"/>
      <c r="E34" s="1"/>
      <c r="F34" s="1"/>
      <c r="G34" s="1"/>
    </row>
    <row r="35" spans="1:11" ht="15.75" thickBot="1" x14ac:dyDescent="0.25">
      <c r="C35" s="1"/>
      <c r="D35" s="1"/>
      <c r="E35" s="1"/>
      <c r="F35" s="1"/>
      <c r="G35" s="1"/>
    </row>
    <row r="36" spans="1:11" ht="16.5" thickBot="1" x14ac:dyDescent="0.3">
      <c r="A36" s="486" t="s">
        <v>342</v>
      </c>
      <c r="B36" s="487"/>
      <c r="C36" s="487"/>
      <c r="D36" s="487"/>
      <c r="E36" s="487"/>
      <c r="F36" s="487"/>
      <c r="G36" s="487"/>
      <c r="H36" s="487"/>
      <c r="I36" s="487"/>
      <c r="J36" s="208"/>
    </row>
    <row r="37" spans="1:11" ht="15.75" x14ac:dyDescent="0.25">
      <c r="A37" s="176"/>
      <c r="C37" s="137" t="str">
        <f>C13</f>
        <v>LEA</v>
      </c>
      <c r="D37" s="34"/>
      <c r="E37" s="137" t="s">
        <v>327</v>
      </c>
      <c r="F37" s="34"/>
      <c r="G37" s="137" t="s">
        <v>328</v>
      </c>
      <c r="I37" s="137" t="s">
        <v>5</v>
      </c>
      <c r="J37" s="160"/>
    </row>
    <row r="38" spans="1:11" x14ac:dyDescent="0.2">
      <c r="A38" s="176"/>
      <c r="J38" s="160"/>
    </row>
    <row r="39" spans="1:11" x14ac:dyDescent="0.2">
      <c r="A39" s="105" t="s">
        <v>340</v>
      </c>
      <c r="C39" s="117">
        <v>0</v>
      </c>
      <c r="D39" s="209"/>
      <c r="E39" s="369">
        <v>0</v>
      </c>
      <c r="F39" s="209"/>
      <c r="G39" s="512">
        <v>0</v>
      </c>
      <c r="H39" s="210"/>
      <c r="I39" s="211">
        <f>C39+E39+G39</f>
        <v>0</v>
      </c>
      <c r="J39" s="160"/>
      <c r="K39" s="23" t="s">
        <v>349</v>
      </c>
    </row>
    <row r="40" spans="1:11" x14ac:dyDescent="0.2">
      <c r="A40" s="176"/>
      <c r="C40" s="209"/>
      <c r="D40" s="209"/>
      <c r="E40" s="209"/>
      <c r="F40" s="209"/>
      <c r="G40" s="209"/>
      <c r="H40" s="210"/>
      <c r="I40" s="211"/>
      <c r="J40" s="160"/>
    </row>
    <row r="41" spans="1:11" x14ac:dyDescent="0.2">
      <c r="A41" s="105" t="s">
        <v>337</v>
      </c>
      <c r="C41" s="209">
        <f>C43-C39</f>
        <v>0</v>
      </c>
      <c r="D41" s="209"/>
      <c r="E41" s="209" t="e">
        <f>E43-E39</f>
        <v>#REF!</v>
      </c>
      <c r="F41" s="209"/>
      <c r="G41" s="209">
        <f>G43-G39</f>
        <v>0</v>
      </c>
      <c r="H41" s="210"/>
      <c r="I41" s="211">
        <f>C41+G41</f>
        <v>0</v>
      </c>
      <c r="J41" s="160"/>
      <c r="K41" s="23" t="s">
        <v>346</v>
      </c>
    </row>
    <row r="42" spans="1:11" x14ac:dyDescent="0.2">
      <c r="A42" s="176"/>
      <c r="C42" s="209"/>
      <c r="D42" s="209"/>
      <c r="E42" s="209"/>
      <c r="F42" s="209"/>
      <c r="G42" s="209"/>
      <c r="H42" s="210"/>
      <c r="I42" s="210"/>
      <c r="J42" s="160"/>
    </row>
    <row r="43" spans="1:11" ht="15.75" thickBot="1" x14ac:dyDescent="0.25">
      <c r="A43" s="105" t="s">
        <v>339</v>
      </c>
      <c r="C43" s="212">
        <f>'Net LEA Amounts'!W31</f>
        <v>0</v>
      </c>
      <c r="D43" s="211"/>
      <c r="E43" s="212" t="e">
        <f>'Net LEA Amounts'!#REF!</f>
        <v>#REF!</v>
      </c>
      <c r="F43" s="211"/>
      <c r="G43" s="212">
        <f>'Net LEA Amounts'!W29</f>
        <v>0</v>
      </c>
      <c r="H43" s="211"/>
      <c r="I43" s="212">
        <f>SUM(I39:I42)</f>
        <v>0</v>
      </c>
      <c r="J43" s="160"/>
    </row>
    <row r="44" spans="1:11" ht="16.5" thickTop="1" thickBot="1" x14ac:dyDescent="0.25">
      <c r="A44" s="205"/>
      <c r="B44" s="98"/>
      <c r="C44" s="6"/>
      <c r="D44" s="6"/>
      <c r="E44" s="6"/>
      <c r="F44" s="6"/>
      <c r="G44" s="6"/>
      <c r="H44" s="98"/>
      <c r="I44" s="98"/>
      <c r="J44" s="161"/>
    </row>
    <row r="46" spans="1:11" x14ac:dyDescent="0.2">
      <c r="C46" s="30"/>
    </row>
    <row r="47" spans="1:11" x14ac:dyDescent="0.2">
      <c r="C47" s="30"/>
    </row>
    <row r="48" spans="1:11" x14ac:dyDescent="0.2">
      <c r="I48" s="30">
        <f>I32-I30-I43</f>
        <v>0</v>
      </c>
      <c r="K48" s="23" t="s">
        <v>347</v>
      </c>
    </row>
    <row r="49" spans="9:11" x14ac:dyDescent="0.2">
      <c r="I49" s="30">
        <f>'GASB 68 Sch Input CY'!P16-'GASB 68 Sch Input CY'!Z16</f>
        <v>0</v>
      </c>
      <c r="K49" s="23" t="s">
        <v>348</v>
      </c>
    </row>
    <row r="50" spans="9:11" ht="15.75" thickBot="1" x14ac:dyDescent="0.25">
      <c r="I50" s="29">
        <f>I48-I49</f>
        <v>0</v>
      </c>
      <c r="K50" s="23" t="s">
        <v>130</v>
      </c>
    </row>
    <row r="51" spans="9:11" ht="15.75" thickTop="1" x14ac:dyDescent="0.2"/>
    <row r="52" spans="9:11" x14ac:dyDescent="0.2">
      <c r="I52" s="30"/>
    </row>
  </sheetData>
  <sheetProtection algorithmName="SHA-512" hashValue="Q91JL5NjnaZdEQz4wGO+5YvprQSYIDzFLdPewdF63wuiwAauGiuLhw5+Ehk9G61b9a+z5/NQLmbOOBH052s7fA==" saltValue="gqSqLMIDzX+gDLhOnDDRjA==" spinCount="100000" sheet="1" objects="1" scenarios="1"/>
  <mergeCells count="4">
    <mergeCell ref="A12:I12"/>
    <mergeCell ref="A23:I23"/>
    <mergeCell ref="A36:I36"/>
    <mergeCell ref="A4:I10"/>
  </mergeCells>
  <pageMargins left="0.7" right="0.7" top="0.75" bottom="0.75" header="0.3" footer="0.3"/>
  <cellWatches>
    <cellWatch r="I50"/>
  </cellWatche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7030A0"/>
  </sheetPr>
  <dimension ref="A1:T119"/>
  <sheetViews>
    <sheetView topLeftCell="A3" zoomScale="85" zoomScaleNormal="85" workbookViewId="0">
      <selection activeCell="A14" sqref="A14"/>
    </sheetView>
  </sheetViews>
  <sheetFormatPr defaultColWidth="8.88671875" defaultRowHeight="15" x14ac:dyDescent="0.2"/>
  <cols>
    <col min="1" max="1" width="64.44140625" customWidth="1"/>
    <col min="2" max="2" width="1" customWidth="1"/>
    <col min="3" max="3" width="13" customWidth="1"/>
    <col min="4" max="4" width="12.88671875" customWidth="1"/>
    <col min="5" max="9" width="13" bestFit="1" customWidth="1"/>
    <col min="10" max="10" width="13" customWidth="1"/>
    <col min="11" max="11" width="13.6640625" customWidth="1"/>
    <col min="12" max="12" width="14.6640625" customWidth="1"/>
    <col min="13" max="13" width="2" customWidth="1"/>
    <col min="14" max="14" width="10.77734375" customWidth="1"/>
    <col min="15" max="15" width="12.21875" bestFit="1" customWidth="1"/>
    <col min="16" max="16" width="10.6640625" bestFit="1" customWidth="1"/>
    <col min="17" max="17" width="9.5546875" bestFit="1" customWidth="1"/>
    <col min="18" max="18" width="1.21875" customWidth="1"/>
    <col min="19" max="19" width="9.21875" bestFit="1" customWidth="1"/>
    <col min="20" max="20" width="9.5546875" bestFit="1" customWidth="1"/>
  </cols>
  <sheetData>
    <row r="1" spans="1:20" ht="18" x14ac:dyDescent="0.25">
      <c r="A1" s="22" t="s">
        <v>229</v>
      </c>
      <c r="C1" s="20" t="s">
        <v>18</v>
      </c>
    </row>
    <row r="2" spans="1:20" ht="18" x14ac:dyDescent="0.25">
      <c r="C2" s="20" t="str">
        <f>'MCVC Proportion'!A2</f>
        <v>Password for protected sheet: BOE2024</v>
      </c>
    </row>
    <row r="3" spans="1:20" ht="18" x14ac:dyDescent="0.25">
      <c r="C3" s="20"/>
    </row>
    <row r="4" spans="1:20" ht="18" x14ac:dyDescent="0.25">
      <c r="C4" s="20"/>
      <c r="E4" s="34"/>
      <c r="F4" s="34"/>
      <c r="N4" s="34"/>
      <c r="O4" s="34"/>
      <c r="P4" s="34"/>
      <c r="Q4" s="34"/>
      <c r="R4" s="34"/>
      <c r="S4" s="34"/>
      <c r="T4" s="34"/>
    </row>
    <row r="5" spans="1:20" ht="18" x14ac:dyDescent="0.25">
      <c r="C5" s="20"/>
      <c r="E5" s="45"/>
      <c r="F5" s="400"/>
      <c r="L5" s="534"/>
      <c r="N5" s="34"/>
      <c r="O5" s="34"/>
      <c r="P5" s="34"/>
      <c r="Q5" s="34"/>
      <c r="R5" s="34"/>
      <c r="S5" s="34"/>
      <c r="T5" s="34"/>
    </row>
    <row r="6" spans="1:20" ht="15.75" x14ac:dyDescent="0.25">
      <c r="E6" s="45"/>
      <c r="F6" s="400"/>
      <c r="N6" s="34"/>
      <c r="O6" s="34"/>
      <c r="P6" s="34"/>
      <c r="Q6" s="34"/>
      <c r="R6" s="34"/>
      <c r="S6" s="34"/>
      <c r="T6" s="34"/>
    </row>
    <row r="7" spans="1:20" ht="15.75" thickBot="1" x14ac:dyDescent="0.25"/>
    <row r="8" spans="1:20" ht="16.5" thickBot="1" x14ac:dyDescent="0.3">
      <c r="E8" s="34">
        <f t="shared" ref="E8:K8" si="0">E20</f>
        <v>2021</v>
      </c>
      <c r="F8" s="34">
        <f t="shared" si="0"/>
        <v>2020</v>
      </c>
      <c r="G8" s="34">
        <f t="shared" si="0"/>
        <v>2019</v>
      </c>
      <c r="H8" s="34">
        <f t="shared" si="0"/>
        <v>2018</v>
      </c>
      <c r="I8" s="34">
        <f t="shared" si="0"/>
        <v>2017</v>
      </c>
      <c r="J8" s="34">
        <f>J20</f>
        <v>2016</v>
      </c>
      <c r="K8" s="34">
        <f t="shared" si="0"/>
        <v>2015</v>
      </c>
      <c r="L8" s="34">
        <f>L20</f>
        <v>2014</v>
      </c>
      <c r="N8" s="486" t="s">
        <v>368</v>
      </c>
      <c r="O8" s="487"/>
      <c r="P8" s="487"/>
      <c r="Q8" s="487"/>
      <c r="R8" s="487"/>
      <c r="S8" s="487"/>
      <c r="T8" s="488"/>
    </row>
    <row r="9" spans="1:20" ht="16.5" thickBot="1" x14ac:dyDescent="0.3">
      <c r="D9" s="371" t="s">
        <v>327</v>
      </c>
      <c r="E9" s="402" t="s">
        <v>481</v>
      </c>
      <c r="F9" s="402" t="s">
        <v>481</v>
      </c>
      <c r="G9" s="402" t="s">
        <v>481</v>
      </c>
      <c r="H9" s="402" t="s">
        <v>481</v>
      </c>
      <c r="I9" s="409">
        <v>0</v>
      </c>
      <c r="J9" s="409">
        <v>0</v>
      </c>
      <c r="K9" s="409">
        <v>0</v>
      </c>
      <c r="L9" s="409">
        <v>0</v>
      </c>
    </row>
    <row r="10" spans="1:20" ht="15.75" x14ac:dyDescent="0.25">
      <c r="A10" s="372" t="s">
        <v>209</v>
      </c>
      <c r="C10" s="62">
        <v>2024</v>
      </c>
      <c r="D10" s="371" t="s">
        <v>326</v>
      </c>
      <c r="E10" s="409">
        <v>0</v>
      </c>
      <c r="F10" s="409">
        <v>0</v>
      </c>
      <c r="G10" s="409">
        <v>0</v>
      </c>
      <c r="H10" s="409">
        <v>0</v>
      </c>
      <c r="I10" s="409">
        <v>0</v>
      </c>
      <c r="J10" s="409">
        <v>0</v>
      </c>
      <c r="K10" s="409">
        <v>0</v>
      </c>
      <c r="L10" s="409">
        <v>0</v>
      </c>
      <c r="N10" s="157" t="s">
        <v>213</v>
      </c>
      <c r="O10" s="158"/>
      <c r="P10" s="158"/>
      <c r="Q10" s="158"/>
      <c r="R10" s="158"/>
      <c r="S10" s="214"/>
      <c r="T10" s="159"/>
    </row>
    <row r="11" spans="1:20" ht="15.75" x14ac:dyDescent="0.25">
      <c r="A11" s="23"/>
      <c r="N11" s="176"/>
      <c r="S11" s="215" t="s">
        <v>138</v>
      </c>
      <c r="T11" s="216" t="s">
        <v>138</v>
      </c>
    </row>
    <row r="12" spans="1:20" ht="15.75" x14ac:dyDescent="0.25">
      <c r="A12" s="91"/>
      <c r="C12" s="491" t="s">
        <v>472</v>
      </c>
      <c r="D12" s="491"/>
      <c r="E12" s="491"/>
      <c r="F12" s="491"/>
      <c r="G12" s="491"/>
      <c r="H12" s="491"/>
      <c r="I12" s="491"/>
      <c r="J12" s="91"/>
      <c r="N12" s="217" t="s">
        <v>214</v>
      </c>
      <c r="O12" s="218" t="s">
        <v>210</v>
      </c>
      <c r="P12" s="218" t="s">
        <v>211</v>
      </c>
      <c r="Q12" s="218" t="s">
        <v>212</v>
      </c>
      <c r="S12" s="215" t="s">
        <v>237</v>
      </c>
      <c r="T12" s="216" t="s">
        <v>238</v>
      </c>
    </row>
    <row r="13" spans="1:20" x14ac:dyDescent="0.2">
      <c r="A13" s="373"/>
      <c r="C13" s="491"/>
      <c r="D13" s="491"/>
      <c r="E13" s="491"/>
      <c r="F13" s="491"/>
      <c r="G13" s="491"/>
      <c r="H13" s="491"/>
      <c r="I13" s="491"/>
      <c r="J13" s="91"/>
      <c r="N13" s="219">
        <f>C10-1</f>
        <v>2023</v>
      </c>
      <c r="O13" s="220">
        <f>C32</f>
        <v>0</v>
      </c>
      <c r="P13" s="220">
        <f>ROUND(IF(O13=0,0,O13/$C$28),0)</f>
        <v>0</v>
      </c>
      <c r="Q13" s="220">
        <f t="shared" ref="Q13:Q19" si="1">O13-P13</f>
        <v>0</v>
      </c>
      <c r="S13" s="221">
        <f t="shared" ref="S13:S19" si="2">IF(Q13&gt;0,Q13,0)</f>
        <v>0</v>
      </c>
      <c r="T13" s="222">
        <f>IF(Q13&lt;0,Q13,0)</f>
        <v>0</v>
      </c>
    </row>
    <row r="14" spans="1:20" x14ac:dyDescent="0.2">
      <c r="A14" s="392"/>
      <c r="C14" s="491"/>
      <c r="D14" s="491"/>
      <c r="E14" s="491"/>
      <c r="F14" s="491"/>
      <c r="G14" s="491"/>
      <c r="H14" s="491"/>
      <c r="I14" s="491"/>
      <c r="J14" s="91"/>
      <c r="N14" s="219">
        <f t="shared" ref="N14:N19" si="3">N13+1</f>
        <v>2024</v>
      </c>
      <c r="O14" s="220">
        <f t="shared" ref="O14:O19" si="4">Q13</f>
        <v>0</v>
      </c>
      <c r="P14" s="220">
        <f>IF($C$28&lt;=2,Q13,P13)</f>
        <v>0</v>
      </c>
      <c r="Q14" s="220">
        <f t="shared" si="1"/>
        <v>0</v>
      </c>
      <c r="S14" s="221">
        <f t="shared" si="2"/>
        <v>0</v>
      </c>
      <c r="T14" s="222">
        <f t="shared" ref="T14:T19" si="5">IF(Q14&lt;0,Q14,0)</f>
        <v>0</v>
      </c>
    </row>
    <row r="15" spans="1:20" x14ac:dyDescent="0.2">
      <c r="A15" s="373"/>
      <c r="C15" s="491"/>
      <c r="D15" s="491"/>
      <c r="E15" s="491"/>
      <c r="F15" s="491"/>
      <c r="G15" s="491"/>
      <c r="H15" s="491"/>
      <c r="I15" s="491"/>
      <c r="J15" s="91"/>
      <c r="N15" s="219">
        <f t="shared" si="3"/>
        <v>2025</v>
      </c>
      <c r="O15" s="220">
        <f t="shared" si="4"/>
        <v>0</v>
      </c>
      <c r="P15" s="220">
        <f>IF($C$28&lt;=3,Q14,P14)</f>
        <v>0</v>
      </c>
      <c r="Q15" s="220">
        <f t="shared" si="1"/>
        <v>0</v>
      </c>
      <c r="S15" s="221">
        <f t="shared" si="2"/>
        <v>0</v>
      </c>
      <c r="T15" s="222">
        <f t="shared" si="5"/>
        <v>0</v>
      </c>
    </row>
    <row r="16" spans="1:20" x14ac:dyDescent="0.2">
      <c r="A16" s="373"/>
      <c r="C16" s="491"/>
      <c r="D16" s="491"/>
      <c r="E16" s="491"/>
      <c r="F16" s="491"/>
      <c r="G16" s="491"/>
      <c r="H16" s="491"/>
      <c r="I16" s="491"/>
      <c r="J16" s="91"/>
      <c r="N16" s="219">
        <f t="shared" si="3"/>
        <v>2026</v>
      </c>
      <c r="O16" s="220">
        <f t="shared" si="4"/>
        <v>0</v>
      </c>
      <c r="P16" s="220">
        <f>IF($C$28&lt;=4,Q15,P15)</f>
        <v>0</v>
      </c>
      <c r="Q16" s="220">
        <f t="shared" si="1"/>
        <v>0</v>
      </c>
      <c r="S16" s="221">
        <f t="shared" si="2"/>
        <v>0</v>
      </c>
      <c r="T16" s="222">
        <f t="shared" si="5"/>
        <v>0</v>
      </c>
    </row>
    <row r="17" spans="1:20" x14ac:dyDescent="0.2">
      <c r="A17" s="373"/>
      <c r="C17" s="491"/>
      <c r="D17" s="491"/>
      <c r="E17" s="491"/>
      <c r="F17" s="491"/>
      <c r="G17" s="491"/>
      <c r="H17" s="491"/>
      <c r="I17" s="491"/>
      <c r="J17" s="91"/>
      <c r="N17" s="219">
        <f t="shared" si="3"/>
        <v>2027</v>
      </c>
      <c r="O17" s="220">
        <f t="shared" si="4"/>
        <v>0</v>
      </c>
      <c r="P17" s="220">
        <f>IF($C$28&lt;=5,Q16,P16)</f>
        <v>0</v>
      </c>
      <c r="Q17" s="220">
        <f t="shared" si="1"/>
        <v>0</v>
      </c>
      <c r="S17" s="221">
        <f t="shared" si="2"/>
        <v>0</v>
      </c>
      <c r="T17" s="222">
        <f t="shared" si="5"/>
        <v>0</v>
      </c>
    </row>
    <row r="18" spans="1:20" ht="15.75" thickBot="1" x14ac:dyDescent="0.25">
      <c r="N18" s="219">
        <f t="shared" si="3"/>
        <v>2028</v>
      </c>
      <c r="O18" s="220">
        <f t="shared" si="4"/>
        <v>0</v>
      </c>
      <c r="P18" s="220">
        <f>IF($C$28&lt;=6,Q17,P17)</f>
        <v>0</v>
      </c>
      <c r="Q18" s="220">
        <f t="shared" si="1"/>
        <v>0</v>
      </c>
      <c r="S18" s="221">
        <f t="shared" si="2"/>
        <v>0</v>
      </c>
      <c r="T18" s="222">
        <f t="shared" si="5"/>
        <v>0</v>
      </c>
    </row>
    <row r="19" spans="1:20" ht="16.5" customHeight="1" thickBot="1" x14ac:dyDescent="0.3">
      <c r="A19" s="157"/>
      <c r="B19" s="159"/>
      <c r="C19" s="492" t="s">
        <v>195</v>
      </c>
      <c r="D19" s="493"/>
      <c r="E19" s="493"/>
      <c r="F19" s="493"/>
      <c r="G19" s="493"/>
      <c r="H19" s="493"/>
      <c r="I19" s="493"/>
      <c r="J19" s="493"/>
      <c r="K19" s="493"/>
      <c r="L19" s="494"/>
      <c r="N19" s="223">
        <f t="shared" si="3"/>
        <v>2029</v>
      </c>
      <c r="O19" s="224">
        <f t="shared" si="4"/>
        <v>0</v>
      </c>
      <c r="P19" s="224">
        <f>IF($C$28&lt;=7,Q18,P18)</f>
        <v>0</v>
      </c>
      <c r="Q19" s="224">
        <f t="shared" si="1"/>
        <v>0</v>
      </c>
      <c r="R19" s="98"/>
      <c r="S19" s="225">
        <f t="shared" si="2"/>
        <v>0</v>
      </c>
      <c r="T19" s="226">
        <f t="shared" si="5"/>
        <v>0</v>
      </c>
    </row>
    <row r="20" spans="1:20" ht="16.5" thickBot="1" x14ac:dyDescent="0.3">
      <c r="A20" s="176"/>
      <c r="B20" s="160"/>
      <c r="C20" s="216">
        <f>C10-1</f>
        <v>2023</v>
      </c>
      <c r="D20" s="411">
        <f>C20-1</f>
        <v>2022</v>
      </c>
      <c r="E20" s="411">
        <f>C20-2</f>
        <v>2021</v>
      </c>
      <c r="F20" s="411">
        <f>C20-3</f>
        <v>2020</v>
      </c>
      <c r="G20" s="411">
        <f>C20-4</f>
        <v>2019</v>
      </c>
      <c r="H20" s="411">
        <f>C20-5</f>
        <v>2018</v>
      </c>
      <c r="I20" s="411">
        <f>C20-6</f>
        <v>2017</v>
      </c>
      <c r="J20" s="411">
        <f>C20-7</f>
        <v>2016</v>
      </c>
      <c r="K20" s="228">
        <f>C20-8</f>
        <v>2015</v>
      </c>
      <c r="L20" s="228">
        <f>D20-8</f>
        <v>2014</v>
      </c>
    </row>
    <row r="21" spans="1:20" ht="15.75" thickBot="1" x14ac:dyDescent="0.25">
      <c r="A21" s="176"/>
      <c r="B21" s="160"/>
      <c r="C21" s="229" t="s">
        <v>196</v>
      </c>
      <c r="D21" s="230" t="s">
        <v>197</v>
      </c>
      <c r="E21" s="230" t="s">
        <v>198</v>
      </c>
      <c r="F21" s="230" t="s">
        <v>199</v>
      </c>
      <c r="G21" s="230" t="s">
        <v>200</v>
      </c>
      <c r="H21" s="230" t="s">
        <v>201</v>
      </c>
      <c r="I21" s="230" t="s">
        <v>202</v>
      </c>
      <c r="J21" s="230" t="s">
        <v>480</v>
      </c>
      <c r="K21" s="230" t="s">
        <v>518</v>
      </c>
      <c r="L21" s="230" t="s">
        <v>541</v>
      </c>
      <c r="N21" s="157" t="s">
        <v>215</v>
      </c>
      <c r="O21" s="158"/>
      <c r="P21" s="158"/>
      <c r="Q21" s="158"/>
      <c r="R21" s="158"/>
      <c r="S21" s="214"/>
      <c r="T21" s="159"/>
    </row>
    <row r="22" spans="1:20" ht="15.75" x14ac:dyDescent="0.25">
      <c r="A22" s="231"/>
      <c r="C22" s="232"/>
      <c r="D22" s="233"/>
      <c r="E22" s="158"/>
      <c r="F22" s="158"/>
      <c r="G22" s="158"/>
      <c r="H22" s="158"/>
      <c r="I22" s="158"/>
      <c r="J22" s="158"/>
      <c r="K22" s="158"/>
      <c r="L22" s="159"/>
      <c r="N22" s="176"/>
      <c r="S22" s="215" t="s">
        <v>138</v>
      </c>
      <c r="T22" s="216" t="s">
        <v>138</v>
      </c>
    </row>
    <row r="23" spans="1:20" ht="15.75" x14ac:dyDescent="0.25">
      <c r="A23" s="234" t="s">
        <v>231</v>
      </c>
      <c r="C23" s="401">
        <f>'Net LEA Amounts'!K13</f>
        <v>0</v>
      </c>
      <c r="D23" s="370">
        <f>'Net LEA Amounts'!K48</f>
        <v>0</v>
      </c>
      <c r="E23" s="370">
        <f>E10</f>
        <v>0</v>
      </c>
      <c r="F23" s="370">
        <f>SUM(F9:F10)</f>
        <v>0</v>
      </c>
      <c r="G23" s="370">
        <f>SUM(G9:G10)</f>
        <v>0</v>
      </c>
      <c r="H23" s="370">
        <f>SUM(H9:H10)</f>
        <v>0</v>
      </c>
      <c r="I23" s="370">
        <f>I9+I10</f>
        <v>0</v>
      </c>
      <c r="J23" s="370">
        <f>J9+J10</f>
        <v>0</v>
      </c>
      <c r="K23" s="370">
        <f>K9+K10</f>
        <v>0</v>
      </c>
      <c r="L23" s="338">
        <f>L9+L10</f>
        <v>0</v>
      </c>
      <c r="N23" s="217" t="s">
        <v>214</v>
      </c>
      <c r="O23" s="218" t="s">
        <v>210</v>
      </c>
      <c r="P23" s="218" t="s">
        <v>211</v>
      </c>
      <c r="Q23" s="218" t="s">
        <v>212</v>
      </c>
      <c r="S23" s="215" t="s">
        <v>237</v>
      </c>
      <c r="T23" s="216" t="s">
        <v>238</v>
      </c>
    </row>
    <row r="24" spans="1:20" ht="15.75" x14ac:dyDescent="0.25">
      <c r="A24" s="234" t="s">
        <v>442</v>
      </c>
      <c r="C24" s="221">
        <f>'GASB 68 Sch Input CY'!B38</f>
        <v>407182995</v>
      </c>
      <c r="D24" s="220">
        <f>'GASB 68 Sch Input PY '!B38</f>
        <v>412124000</v>
      </c>
      <c r="E24" s="220">
        <v>417334000</v>
      </c>
      <c r="F24" s="220">
        <v>413728000</v>
      </c>
      <c r="G24" s="220">
        <v>433203000</v>
      </c>
      <c r="H24" s="220">
        <v>443800000</v>
      </c>
      <c r="I24" s="220">
        <v>413976000</v>
      </c>
      <c r="J24" s="220">
        <v>387685000</v>
      </c>
      <c r="K24" s="220">
        <v>454721000</v>
      </c>
      <c r="L24" s="222">
        <v>488511000</v>
      </c>
      <c r="N24" s="219">
        <f>N13-1</f>
        <v>2022</v>
      </c>
      <c r="O24" s="220">
        <f>D32</f>
        <v>0</v>
      </c>
      <c r="P24" s="220">
        <f>ROUND(IF(O24=0,0,O24/D28),0)</f>
        <v>0</v>
      </c>
      <c r="Q24" s="220">
        <f t="shared" ref="Q24:Q30" si="6">O24-P24</f>
        <v>0</v>
      </c>
      <c r="S24" s="221">
        <f t="shared" ref="S24:S30" si="7">IF(Q24&gt;0,Q24,0)</f>
        <v>0</v>
      </c>
      <c r="T24" s="222">
        <f>IF(Q24&lt;0,Q24,0)</f>
        <v>0</v>
      </c>
    </row>
    <row r="25" spans="1:20" ht="15.75" x14ac:dyDescent="0.25">
      <c r="A25" s="234" t="s">
        <v>443</v>
      </c>
      <c r="C25" s="221">
        <f>'GASB 68 Sch Input CY'!B21</f>
        <v>2289406000</v>
      </c>
      <c r="D25" s="220">
        <f>'GASB 68 Sch Input PY '!B21</f>
        <v>2572065000</v>
      </c>
      <c r="E25" s="220">
        <v>1562779000</v>
      </c>
      <c r="F25" s="220">
        <v>3220941000</v>
      </c>
      <c r="G25" s="220">
        <v>2975171000</v>
      </c>
      <c r="H25" s="220">
        <v>3122257000</v>
      </c>
      <c r="I25" s="220">
        <v>3454972000</v>
      </c>
      <c r="J25" s="220">
        <v>4109834000</v>
      </c>
      <c r="K25" s="220">
        <v>3465254000</v>
      </c>
      <c r="L25" s="222">
        <v>3450093000</v>
      </c>
      <c r="N25" s="219">
        <f t="shared" ref="N25:N30" si="8">N24+1</f>
        <v>2023</v>
      </c>
      <c r="O25" s="220">
        <f t="shared" ref="O25:O30" si="9">Q24</f>
        <v>0</v>
      </c>
      <c r="P25" s="220">
        <f>IF($D$28&lt;=2,Q24,P24)</f>
        <v>0</v>
      </c>
      <c r="Q25" s="220">
        <f t="shared" si="6"/>
        <v>0</v>
      </c>
      <c r="S25" s="221">
        <f t="shared" si="7"/>
        <v>0</v>
      </c>
      <c r="T25" s="222">
        <f t="shared" ref="T25:T30" si="10">IF(Q25&lt;0,Q25,0)</f>
        <v>0</v>
      </c>
    </row>
    <row r="26" spans="1:20" ht="15.75" x14ac:dyDescent="0.25">
      <c r="A26" s="234" t="s">
        <v>444</v>
      </c>
      <c r="C26" s="221">
        <f>-'GASB 68 Sch Input CY'!P21</f>
        <v>-309193968</v>
      </c>
      <c r="D26" s="220">
        <f>-'GASB 68 Sch Input PY '!N21</f>
        <v>-462599067</v>
      </c>
      <c r="E26" s="220">
        <v>-484590793</v>
      </c>
      <c r="F26" s="220">
        <v>-543669374</v>
      </c>
      <c r="G26" s="220">
        <v>-324963408</v>
      </c>
      <c r="H26" s="220">
        <v>-418772427</v>
      </c>
      <c r="I26" s="220">
        <v>-441569429</v>
      </c>
      <c r="J26" s="220">
        <v>-776074005</v>
      </c>
      <c r="K26" s="220">
        <v>-346973746</v>
      </c>
      <c r="L26" s="222">
        <v>-121646999</v>
      </c>
      <c r="N26" s="219">
        <f t="shared" si="8"/>
        <v>2024</v>
      </c>
      <c r="O26" s="220">
        <f t="shared" si="9"/>
        <v>0</v>
      </c>
      <c r="P26" s="220">
        <f>IF($D$28&lt;=3,Q25,P25)</f>
        <v>0</v>
      </c>
      <c r="Q26" s="220">
        <f t="shared" si="6"/>
        <v>0</v>
      </c>
      <c r="S26" s="221">
        <f t="shared" si="7"/>
        <v>0</v>
      </c>
      <c r="T26" s="222">
        <f t="shared" si="10"/>
        <v>0</v>
      </c>
    </row>
    <row r="27" spans="1:20" ht="15.75" x14ac:dyDescent="0.25">
      <c r="A27" s="234" t="s">
        <v>445</v>
      </c>
      <c r="C27" s="221">
        <f>'GASB 68 Sch Input CY'!Z21</f>
        <v>94430968</v>
      </c>
      <c r="D27" s="220">
        <f>'GASB 68 Sch Input PY '!X21</f>
        <v>127130067</v>
      </c>
      <c r="E27" s="220">
        <v>1458034793</v>
      </c>
      <c r="F27" s="220">
        <v>299843374</v>
      </c>
      <c r="G27" s="220">
        <v>428465408</v>
      </c>
      <c r="H27" s="220">
        <v>524806427</v>
      </c>
      <c r="I27" s="220">
        <v>451886429</v>
      </c>
      <c r="J27" s="220">
        <v>261668005</v>
      </c>
      <c r="K27" s="220">
        <v>523232746</v>
      </c>
      <c r="L27" s="222">
        <v>577682199</v>
      </c>
      <c r="N27" s="219">
        <f t="shared" si="8"/>
        <v>2025</v>
      </c>
      <c r="O27" s="220">
        <f t="shared" si="9"/>
        <v>0</v>
      </c>
      <c r="P27" s="220">
        <f>IF($D$28&lt;=4,Q26,P26)</f>
        <v>0</v>
      </c>
      <c r="Q27" s="220">
        <f t="shared" si="6"/>
        <v>0</v>
      </c>
      <c r="S27" s="221">
        <f t="shared" si="7"/>
        <v>0</v>
      </c>
      <c r="T27" s="222">
        <f t="shared" si="10"/>
        <v>0</v>
      </c>
    </row>
    <row r="28" spans="1:20" x14ac:dyDescent="0.2">
      <c r="A28" s="105" t="s">
        <v>208</v>
      </c>
      <c r="C28" s="237">
        <f>'GASB 68 Sch Input CY'!F48</f>
        <v>5.04</v>
      </c>
      <c r="D28" s="339">
        <v>5.12</v>
      </c>
      <c r="E28" s="339">
        <v>5.0599999999999996</v>
      </c>
      <c r="F28" s="339">
        <v>5</v>
      </c>
      <c r="G28" s="339">
        <v>5.45</v>
      </c>
      <c r="H28" s="339">
        <v>5.71</v>
      </c>
      <c r="I28" s="339">
        <v>5.98</v>
      </c>
      <c r="J28" s="339">
        <v>5.96</v>
      </c>
      <c r="K28" s="339">
        <v>6</v>
      </c>
      <c r="L28" s="249">
        <v>5.91</v>
      </c>
      <c r="N28" s="219">
        <f t="shared" si="8"/>
        <v>2026</v>
      </c>
      <c r="O28" s="220">
        <f t="shared" si="9"/>
        <v>0</v>
      </c>
      <c r="P28" s="220">
        <f>IF($D$28&lt;=5,Q27,P27)</f>
        <v>0</v>
      </c>
      <c r="Q28" s="220">
        <f t="shared" si="6"/>
        <v>0</v>
      </c>
      <c r="S28" s="221">
        <f t="shared" si="7"/>
        <v>0</v>
      </c>
      <c r="T28" s="222">
        <f t="shared" si="10"/>
        <v>0</v>
      </c>
    </row>
    <row r="29" spans="1:20" x14ac:dyDescent="0.2">
      <c r="A29" s="105" t="s">
        <v>359</v>
      </c>
      <c r="C29" s="221">
        <f>ROUND((C23-D23)*D26,8)</f>
        <v>0</v>
      </c>
      <c r="D29" s="425">
        <f>ROUND((D23-E23)*E26,8)</f>
        <v>0</v>
      </c>
      <c r="E29" s="238">
        <f>ROUND((E23-F23)*F26,8)</f>
        <v>0</v>
      </c>
      <c r="F29" s="238">
        <f t="shared" ref="F29:L29" si="11">ROUND((F23-G23)*G26,8)</f>
        <v>0</v>
      </c>
      <c r="G29" s="238">
        <f t="shared" si="11"/>
        <v>0</v>
      </c>
      <c r="H29" s="238">
        <f t="shared" si="11"/>
        <v>0</v>
      </c>
      <c r="I29" s="238">
        <f t="shared" si="11"/>
        <v>0</v>
      </c>
      <c r="J29" s="238">
        <f t="shared" si="11"/>
        <v>0</v>
      </c>
      <c r="K29" s="238">
        <f t="shared" si="11"/>
        <v>0</v>
      </c>
      <c r="L29" s="222">
        <f t="shared" si="11"/>
        <v>0</v>
      </c>
      <c r="N29" s="219">
        <f>N28+1</f>
        <v>2027</v>
      </c>
      <c r="O29" s="220">
        <f>Q28</f>
        <v>0</v>
      </c>
      <c r="P29" s="220">
        <f>IF($D$28&lt;=6,Q28,P28)</f>
        <v>0</v>
      </c>
      <c r="Q29" s="220">
        <f t="shared" si="6"/>
        <v>0</v>
      </c>
      <c r="S29" s="221">
        <f t="shared" si="7"/>
        <v>0</v>
      </c>
      <c r="T29" s="222">
        <f t="shared" si="10"/>
        <v>0</v>
      </c>
    </row>
    <row r="30" spans="1:20" ht="15.75" thickBot="1" x14ac:dyDescent="0.25">
      <c r="A30" s="105" t="s">
        <v>360</v>
      </c>
      <c r="C30" s="221">
        <f>ROUND((C23-D23)*D27,8)</f>
        <v>0</v>
      </c>
      <c r="D30" s="425">
        <f>ROUND((D23-E23)*E27,8)</f>
        <v>0</v>
      </c>
      <c r="E30" s="238">
        <f>ROUND((E23-F23)*F27,8)</f>
        <v>0</v>
      </c>
      <c r="F30" s="238">
        <f t="shared" ref="F30:L30" si="12">ROUND((F23-G23)*G27,8)</f>
        <v>0</v>
      </c>
      <c r="G30" s="238">
        <f t="shared" si="12"/>
        <v>0</v>
      </c>
      <c r="H30" s="238">
        <f t="shared" si="12"/>
        <v>0</v>
      </c>
      <c r="I30" s="238">
        <f t="shared" si="12"/>
        <v>0</v>
      </c>
      <c r="J30" s="238">
        <f t="shared" si="12"/>
        <v>0</v>
      </c>
      <c r="K30" s="238">
        <f t="shared" si="12"/>
        <v>0</v>
      </c>
      <c r="L30" s="222">
        <f t="shared" si="12"/>
        <v>0</v>
      </c>
      <c r="N30" s="223">
        <f t="shared" si="8"/>
        <v>2028</v>
      </c>
      <c r="O30" s="224">
        <f t="shared" si="9"/>
        <v>0</v>
      </c>
      <c r="P30" s="224">
        <f>IF($D$28&lt;=7,Q29,P29)</f>
        <v>0</v>
      </c>
      <c r="Q30" s="224">
        <f t="shared" si="6"/>
        <v>0</v>
      </c>
      <c r="R30" s="98"/>
      <c r="S30" s="225">
        <f t="shared" si="7"/>
        <v>0</v>
      </c>
      <c r="T30" s="226">
        <f t="shared" si="10"/>
        <v>0</v>
      </c>
    </row>
    <row r="31" spans="1:20" ht="15.75" customHeight="1" thickBot="1" x14ac:dyDescent="0.25">
      <c r="A31" s="239" t="s">
        <v>358</v>
      </c>
      <c r="C31" s="225">
        <f t="shared" ref="C31:E31" si="13">ROUND((C23-D23)*D25,8)</f>
        <v>0</v>
      </c>
      <c r="D31" s="224">
        <f t="shared" si="13"/>
        <v>0</v>
      </c>
      <c r="E31" s="224">
        <f t="shared" si="13"/>
        <v>0</v>
      </c>
      <c r="F31" s="224">
        <f t="shared" ref="F31" si="14">ROUND((F23-G23)*G25,8)</f>
        <v>0</v>
      </c>
      <c r="G31" s="224">
        <f t="shared" ref="G31" si="15">ROUND((G23-H23)*H25,8)</f>
        <v>0</v>
      </c>
      <c r="H31" s="224">
        <f t="shared" ref="H31" si="16">ROUND((H23-I23)*I25,8)</f>
        <v>0</v>
      </c>
      <c r="I31" s="224">
        <f t="shared" ref="I31" si="17">ROUND((I23-J23)*J25,8)</f>
        <v>0</v>
      </c>
      <c r="J31" s="224">
        <f t="shared" ref="J31" si="18">ROUND((J23-K23)*K25,8)</f>
        <v>0</v>
      </c>
      <c r="K31" s="224">
        <f t="shared" ref="K31:L31" si="19">ROUND((K23-L23)*L25,8)</f>
        <v>0</v>
      </c>
      <c r="L31" s="249">
        <f t="shared" si="19"/>
        <v>0</v>
      </c>
    </row>
    <row r="32" spans="1:20" ht="15" customHeight="1" thickBot="1" x14ac:dyDescent="0.25">
      <c r="A32" s="239" t="s">
        <v>365</v>
      </c>
      <c r="C32" s="397">
        <f>SUM(C29:C31)</f>
        <v>0</v>
      </c>
      <c r="D32" s="398">
        <f t="shared" ref="D32:H32" si="20">SUM(D29:D31)</f>
        <v>0</v>
      </c>
      <c r="E32" s="398">
        <f t="shared" si="20"/>
        <v>0</v>
      </c>
      <c r="F32" s="398">
        <f t="shared" si="20"/>
        <v>0</v>
      </c>
      <c r="G32" s="398">
        <f t="shared" si="20"/>
        <v>0</v>
      </c>
      <c r="H32" s="398">
        <f t="shared" si="20"/>
        <v>0</v>
      </c>
      <c r="I32" s="398">
        <f t="shared" ref="I32:L32" si="21">SUM(I29:I31)</f>
        <v>0</v>
      </c>
      <c r="J32" s="398">
        <f t="shared" si="21"/>
        <v>0</v>
      </c>
      <c r="K32" s="398">
        <f t="shared" si="21"/>
        <v>0</v>
      </c>
      <c r="L32" s="399">
        <f t="shared" si="21"/>
        <v>0</v>
      </c>
      <c r="N32" s="157" t="s">
        <v>216</v>
      </c>
      <c r="O32" s="158"/>
      <c r="P32" s="158"/>
      <c r="Q32" s="158"/>
      <c r="R32" s="158"/>
      <c r="S32" s="214"/>
      <c r="T32" s="159"/>
    </row>
    <row r="33" spans="1:20" ht="15.75" customHeight="1" thickTop="1" thickBot="1" x14ac:dyDescent="0.3">
      <c r="A33" s="205"/>
      <c r="B33" s="98"/>
      <c r="C33" s="205"/>
      <c r="D33" s="98"/>
      <c r="E33" s="98"/>
      <c r="F33" s="98"/>
      <c r="G33" s="98"/>
      <c r="H33" s="98"/>
      <c r="I33" s="98"/>
      <c r="J33" s="98"/>
      <c r="K33" s="98"/>
      <c r="L33" s="161"/>
      <c r="N33" s="176"/>
      <c r="S33" s="215" t="s">
        <v>138</v>
      </c>
      <c r="T33" s="216" t="s">
        <v>138</v>
      </c>
    </row>
    <row r="34" spans="1:20" ht="16.5" thickBot="1" x14ac:dyDescent="0.3">
      <c r="N34" s="217" t="s">
        <v>214</v>
      </c>
      <c r="O34" s="218" t="s">
        <v>210</v>
      </c>
      <c r="P34" s="218" t="s">
        <v>211</v>
      </c>
      <c r="Q34" s="218" t="s">
        <v>212</v>
      </c>
      <c r="S34" s="215" t="s">
        <v>237</v>
      </c>
      <c r="T34" s="216" t="s">
        <v>238</v>
      </c>
    </row>
    <row r="35" spans="1:20" ht="15.75" x14ac:dyDescent="0.25">
      <c r="A35" s="243" t="s">
        <v>221</v>
      </c>
      <c r="B35" s="158"/>
      <c r="C35" s="158"/>
      <c r="D35" s="159"/>
      <c r="N35" s="219">
        <f>N24-1</f>
        <v>2021</v>
      </c>
      <c r="O35" s="220">
        <f>E32</f>
        <v>0</v>
      </c>
      <c r="P35" s="220">
        <f>ROUND(IF(O35=0,0,O35/E28),0)</f>
        <v>0</v>
      </c>
      <c r="Q35" s="220">
        <f t="shared" ref="Q35:Q41" si="22">O35-P35</f>
        <v>0</v>
      </c>
      <c r="S35" s="221">
        <f t="shared" ref="S35:S41" si="23">IF(Q35&gt;0,Q35,0)</f>
        <v>0</v>
      </c>
      <c r="T35" s="222">
        <f>IF(Q35&lt;0,Q35,0)</f>
        <v>0</v>
      </c>
    </row>
    <row r="36" spans="1:20" x14ac:dyDescent="0.2">
      <c r="A36" s="244" t="s">
        <v>195</v>
      </c>
      <c r="B36" s="245"/>
      <c r="C36" s="246" t="s">
        <v>7</v>
      </c>
      <c r="D36" s="247"/>
      <c r="E36" s="246"/>
      <c r="F36" s="246"/>
      <c r="N36" s="219">
        <f t="shared" ref="N36:N41" si="24">N35+1</f>
        <v>2022</v>
      </c>
      <c r="O36" s="220">
        <f t="shared" ref="O36:O41" si="25">Q35</f>
        <v>0</v>
      </c>
      <c r="P36" s="220">
        <f>IF($E$28&lt;=2,Q35,P35)</f>
        <v>0</v>
      </c>
      <c r="Q36" s="220">
        <f t="shared" si="22"/>
        <v>0</v>
      </c>
      <c r="S36" s="221">
        <f t="shared" si="23"/>
        <v>0</v>
      </c>
      <c r="T36" s="222">
        <f t="shared" ref="T36:T41" si="26">IF(Q36&lt;0,Q36,0)</f>
        <v>0</v>
      </c>
    </row>
    <row r="37" spans="1:20" x14ac:dyDescent="0.2">
      <c r="A37" s="248">
        <f>C20</f>
        <v>2023</v>
      </c>
      <c r="B37" s="245"/>
      <c r="C37" s="220">
        <f>P13</f>
        <v>0</v>
      </c>
      <c r="D37" s="222"/>
      <c r="E37" s="220"/>
      <c r="N37" s="219">
        <f t="shared" si="24"/>
        <v>2023</v>
      </c>
      <c r="O37" s="220">
        <f t="shared" si="25"/>
        <v>0</v>
      </c>
      <c r="P37" s="220">
        <f>IF($E$28&lt;=3,Q36,P36)</f>
        <v>0</v>
      </c>
      <c r="Q37" s="220">
        <f t="shared" si="22"/>
        <v>0</v>
      </c>
      <c r="S37" s="221">
        <f t="shared" si="23"/>
        <v>0</v>
      </c>
      <c r="T37" s="222">
        <f t="shared" si="26"/>
        <v>0</v>
      </c>
    </row>
    <row r="38" spans="1:20" x14ac:dyDescent="0.2">
      <c r="A38" s="248">
        <f>D20</f>
        <v>2022</v>
      </c>
      <c r="B38" s="245"/>
      <c r="C38" s="220">
        <f>P25+C46</f>
        <v>0</v>
      </c>
      <c r="D38" s="222"/>
      <c r="E38" s="220"/>
      <c r="N38" s="219">
        <f t="shared" si="24"/>
        <v>2024</v>
      </c>
      <c r="O38" s="220">
        <f t="shared" si="25"/>
        <v>0</v>
      </c>
      <c r="P38" s="220">
        <f>IF($E$28&lt;=4,Q37,P37)</f>
        <v>0</v>
      </c>
      <c r="Q38" s="220">
        <f t="shared" si="22"/>
        <v>0</v>
      </c>
      <c r="S38" s="221">
        <f t="shared" si="23"/>
        <v>0</v>
      </c>
      <c r="T38" s="222">
        <f t="shared" si="26"/>
        <v>0</v>
      </c>
    </row>
    <row r="39" spans="1:20" x14ac:dyDescent="0.2">
      <c r="A39" s="248">
        <f>E20</f>
        <v>2021</v>
      </c>
      <c r="B39" s="245"/>
      <c r="C39" s="220">
        <f>P37</f>
        <v>0</v>
      </c>
      <c r="D39" s="249"/>
      <c r="E39" s="220"/>
      <c r="N39" s="219">
        <f t="shared" si="24"/>
        <v>2025</v>
      </c>
      <c r="O39" s="220">
        <f t="shared" si="25"/>
        <v>0</v>
      </c>
      <c r="P39" s="220">
        <f>IF($E$28&lt;=5,Q38,P38)</f>
        <v>0</v>
      </c>
      <c r="Q39" s="220">
        <f t="shared" si="22"/>
        <v>0</v>
      </c>
      <c r="S39" s="221">
        <f t="shared" si="23"/>
        <v>0</v>
      </c>
      <c r="T39" s="222">
        <f t="shared" si="26"/>
        <v>0</v>
      </c>
    </row>
    <row r="40" spans="1:20" ht="15.75" x14ac:dyDescent="0.25">
      <c r="A40" s="248">
        <f>F20</f>
        <v>2020</v>
      </c>
      <c r="B40" s="245"/>
      <c r="C40" s="220">
        <f>P49</f>
        <v>0</v>
      </c>
      <c r="D40" s="249"/>
      <c r="E40" s="220"/>
      <c r="G40" s="22"/>
      <c r="H40" s="22"/>
      <c r="I40" s="22"/>
      <c r="J40" s="22"/>
      <c r="N40" s="219">
        <f t="shared" si="24"/>
        <v>2026</v>
      </c>
      <c r="O40" s="220">
        <f t="shared" si="25"/>
        <v>0</v>
      </c>
      <c r="P40" s="220">
        <f>IF($E$28&lt;=6,Q39,P39)</f>
        <v>0</v>
      </c>
      <c r="Q40" s="220">
        <f t="shared" si="22"/>
        <v>0</v>
      </c>
      <c r="S40" s="221">
        <f t="shared" si="23"/>
        <v>0</v>
      </c>
      <c r="T40" s="222">
        <f t="shared" si="26"/>
        <v>0</v>
      </c>
    </row>
    <row r="41" spans="1:20" ht="16.5" thickBot="1" x14ac:dyDescent="0.3">
      <c r="A41" s="248">
        <f>G20</f>
        <v>2019</v>
      </c>
      <c r="B41" s="245"/>
      <c r="C41" s="220">
        <f>P61</f>
        <v>0</v>
      </c>
      <c r="D41" s="249"/>
      <c r="E41" s="220"/>
      <c r="G41" s="34"/>
      <c r="H41" s="34"/>
      <c r="I41" s="34"/>
      <c r="J41" s="34"/>
      <c r="N41" s="223">
        <f t="shared" si="24"/>
        <v>2027</v>
      </c>
      <c r="O41" s="224">
        <f t="shared" si="25"/>
        <v>0</v>
      </c>
      <c r="P41" s="224">
        <f>IF($E$28&lt;=7,Q40,P40)</f>
        <v>0</v>
      </c>
      <c r="Q41" s="224">
        <f t="shared" si="22"/>
        <v>0</v>
      </c>
      <c r="R41" s="98"/>
      <c r="S41" s="225">
        <f t="shared" si="23"/>
        <v>0</v>
      </c>
      <c r="T41" s="226">
        <f t="shared" si="26"/>
        <v>0</v>
      </c>
    </row>
    <row r="42" spans="1:20" ht="15.75" thickBot="1" x14ac:dyDescent="0.25">
      <c r="A42" s="248">
        <f>H20</f>
        <v>2018</v>
      </c>
      <c r="B42" s="245"/>
      <c r="C42" s="220">
        <f>P73</f>
        <v>0</v>
      </c>
      <c r="D42" s="249"/>
      <c r="E42" s="220"/>
      <c r="G42" s="9"/>
      <c r="H42" s="9"/>
      <c r="I42" s="9"/>
      <c r="J42" s="9"/>
    </row>
    <row r="43" spans="1:20" x14ac:dyDescent="0.2">
      <c r="A43" s="248">
        <f>I20</f>
        <v>2017</v>
      </c>
      <c r="B43" s="245"/>
      <c r="C43" s="220">
        <f>P85</f>
        <v>0</v>
      </c>
      <c r="D43" s="249"/>
      <c r="E43" s="220"/>
      <c r="N43" s="157" t="s">
        <v>217</v>
      </c>
      <c r="O43" s="158"/>
      <c r="P43" s="158"/>
      <c r="Q43" s="158"/>
      <c r="R43" s="158"/>
      <c r="S43" s="214"/>
      <c r="T43" s="159"/>
    </row>
    <row r="44" spans="1:20" ht="16.5" thickBot="1" x14ac:dyDescent="0.3">
      <c r="A44" s="250" t="s">
        <v>222</v>
      </c>
      <c r="B44" s="245"/>
      <c r="C44" s="241">
        <f>SUM(C37:C43)</f>
        <v>0</v>
      </c>
      <c r="D44" s="222"/>
      <c r="E44" s="220"/>
      <c r="N44" s="176"/>
      <c r="S44" s="215" t="s">
        <v>138</v>
      </c>
      <c r="T44" s="216" t="s">
        <v>138</v>
      </c>
    </row>
    <row r="45" spans="1:20" ht="16.5" thickTop="1" x14ac:dyDescent="0.25">
      <c r="A45" s="250"/>
      <c r="B45" s="245"/>
      <c r="D45" s="251"/>
      <c r="N45" s="217" t="s">
        <v>214</v>
      </c>
      <c r="O45" s="218" t="s">
        <v>210</v>
      </c>
      <c r="P45" s="218" t="s">
        <v>211</v>
      </c>
      <c r="Q45" s="218" t="s">
        <v>212</v>
      </c>
      <c r="S45" s="215" t="s">
        <v>237</v>
      </c>
      <c r="T45" s="216" t="s">
        <v>238</v>
      </c>
    </row>
    <row r="46" spans="1:20" ht="15.75" thickBot="1" x14ac:dyDescent="0.25">
      <c r="A46" s="252" t="s">
        <v>338</v>
      </c>
      <c r="B46" s="98"/>
      <c r="C46" s="213">
        <v>0</v>
      </c>
      <c r="D46" s="253" t="s">
        <v>236</v>
      </c>
      <c r="N46" s="219">
        <f>N35-1</f>
        <v>2020</v>
      </c>
      <c r="O46" s="220">
        <f>F32</f>
        <v>0</v>
      </c>
      <c r="P46" s="220">
        <f>ROUND(IF(O46=0,0,O46/F28),0)</f>
        <v>0</v>
      </c>
      <c r="Q46" s="220">
        <f t="shared" ref="Q46:Q52" si="27">O46-P46</f>
        <v>0</v>
      </c>
      <c r="S46" s="221">
        <f t="shared" ref="S46:S52" si="28">IF(Q46&gt;0,Q46,0)</f>
        <v>0</v>
      </c>
      <c r="T46" s="222">
        <f>IF(Q46&lt;0,Q46,0)</f>
        <v>0</v>
      </c>
    </row>
    <row r="47" spans="1:20" x14ac:dyDescent="0.2">
      <c r="D47" s="33"/>
      <c r="N47" s="219">
        <f t="shared" ref="N47:N52" si="29">N46+1</f>
        <v>2021</v>
      </c>
      <c r="O47" s="220">
        <f t="shared" ref="O47:O52" si="30">Q46</f>
        <v>0</v>
      </c>
      <c r="P47" s="220">
        <f>IF($F$28&lt;=2,Q46,P46)</f>
        <v>0</v>
      </c>
      <c r="Q47" s="220">
        <f t="shared" si="27"/>
        <v>0</v>
      </c>
      <c r="S47" s="221">
        <f t="shared" si="28"/>
        <v>0</v>
      </c>
      <c r="T47" s="222">
        <f t="shared" ref="T47:T52" si="31">IF(Q47&lt;0,Q47,0)</f>
        <v>0</v>
      </c>
    </row>
    <row r="48" spans="1:20" ht="15.75" thickBot="1" x14ac:dyDescent="0.25">
      <c r="N48" s="219">
        <f t="shared" si="29"/>
        <v>2022</v>
      </c>
      <c r="O48" s="220">
        <f t="shared" si="30"/>
        <v>0</v>
      </c>
      <c r="P48" s="220">
        <f>IF($F$28&lt;=3,Q47,P47)</f>
        <v>0</v>
      </c>
      <c r="Q48" s="220">
        <f t="shared" si="27"/>
        <v>0</v>
      </c>
      <c r="S48" s="221">
        <f t="shared" si="28"/>
        <v>0</v>
      </c>
      <c r="T48" s="222">
        <f t="shared" si="31"/>
        <v>0</v>
      </c>
    </row>
    <row r="49" spans="1:20" ht="15.75" x14ac:dyDescent="0.25">
      <c r="A49" s="243" t="s">
        <v>223</v>
      </c>
      <c r="B49" s="158"/>
      <c r="C49" s="158"/>
      <c r="D49" s="158"/>
      <c r="E49" s="159"/>
      <c r="N49" s="219">
        <f t="shared" si="29"/>
        <v>2023</v>
      </c>
      <c r="O49" s="220">
        <f t="shared" si="30"/>
        <v>0</v>
      </c>
      <c r="P49" s="220">
        <f>IF($F$28&lt;=4,Q48,P48)</f>
        <v>0</v>
      </c>
      <c r="Q49" s="220">
        <f t="shared" si="27"/>
        <v>0</v>
      </c>
      <c r="S49" s="221">
        <f t="shared" si="28"/>
        <v>0</v>
      </c>
      <c r="T49" s="222">
        <f t="shared" si="31"/>
        <v>0</v>
      </c>
    </row>
    <row r="50" spans="1:20" x14ac:dyDescent="0.2">
      <c r="A50" s="244"/>
      <c r="B50" s="245"/>
      <c r="C50" s="245"/>
      <c r="D50" s="245"/>
      <c r="E50" s="160"/>
      <c r="N50" s="219">
        <f t="shared" si="29"/>
        <v>2024</v>
      </c>
      <c r="O50" s="220">
        <f t="shared" si="30"/>
        <v>0</v>
      </c>
      <c r="P50" s="220">
        <f>IF($F$28&lt;=5,Q49,P49)</f>
        <v>0</v>
      </c>
      <c r="Q50" s="220">
        <f t="shared" si="27"/>
        <v>0</v>
      </c>
      <c r="S50" s="221">
        <f t="shared" si="28"/>
        <v>0</v>
      </c>
      <c r="T50" s="222">
        <f t="shared" si="31"/>
        <v>0</v>
      </c>
    </row>
    <row r="51" spans="1:20" x14ac:dyDescent="0.2">
      <c r="A51" s="244"/>
      <c r="B51" s="245"/>
      <c r="C51" s="489" t="s">
        <v>224</v>
      </c>
      <c r="D51" s="489" t="s">
        <v>225</v>
      </c>
      <c r="E51" s="490" t="s">
        <v>398</v>
      </c>
      <c r="N51" s="219">
        <f t="shared" si="29"/>
        <v>2025</v>
      </c>
      <c r="O51" s="220">
        <f t="shared" si="30"/>
        <v>0</v>
      </c>
      <c r="P51" s="220">
        <f>IF($F$28&lt;=6,Q50,P50)</f>
        <v>0</v>
      </c>
      <c r="Q51" s="220">
        <f t="shared" si="27"/>
        <v>0</v>
      </c>
      <c r="S51" s="221">
        <f t="shared" si="28"/>
        <v>0</v>
      </c>
      <c r="T51" s="222">
        <f t="shared" si="31"/>
        <v>0</v>
      </c>
    </row>
    <row r="52" spans="1:20" ht="15.75" thickBot="1" x14ac:dyDescent="0.25">
      <c r="A52" s="244" t="s">
        <v>227</v>
      </c>
      <c r="B52" s="245"/>
      <c r="C52" s="489"/>
      <c r="D52" s="489"/>
      <c r="E52" s="490"/>
      <c r="N52" s="223">
        <f t="shared" si="29"/>
        <v>2026</v>
      </c>
      <c r="O52" s="224">
        <f t="shared" si="30"/>
        <v>0</v>
      </c>
      <c r="P52" s="224">
        <f>IF($F$28&lt;=7,Q51,P51)</f>
        <v>0</v>
      </c>
      <c r="Q52" s="224">
        <f t="shared" si="27"/>
        <v>0</v>
      </c>
      <c r="R52" s="98"/>
      <c r="S52" s="225">
        <f t="shared" si="28"/>
        <v>0</v>
      </c>
      <c r="T52" s="226">
        <f t="shared" si="31"/>
        <v>0</v>
      </c>
    </row>
    <row r="53" spans="1:20" ht="15.75" thickBot="1" x14ac:dyDescent="0.25">
      <c r="A53" s="248">
        <f>C20</f>
        <v>2023</v>
      </c>
      <c r="B53" s="245"/>
      <c r="C53" s="162">
        <f>ROUND(S13,0)</f>
        <v>0</v>
      </c>
      <c r="D53" s="162">
        <f>ROUND(T13,0)</f>
        <v>0</v>
      </c>
      <c r="E53" s="222">
        <f>SUM(C53:D53)</f>
        <v>0</v>
      </c>
    </row>
    <row r="54" spans="1:20" x14ac:dyDescent="0.2">
      <c r="A54" s="248">
        <f>D20</f>
        <v>2022</v>
      </c>
      <c r="B54" s="245"/>
      <c r="C54" s="162">
        <f>ROUND(S25,0)+C63</f>
        <v>0</v>
      </c>
      <c r="D54" s="162">
        <f>ROUND(T25,0)+D63</f>
        <v>0</v>
      </c>
      <c r="E54" s="222">
        <f t="shared" ref="E54:E59" si="32">SUM(C54:D54)</f>
        <v>0</v>
      </c>
      <c r="N54" s="157" t="s">
        <v>218</v>
      </c>
      <c r="O54" s="158"/>
      <c r="P54" s="158"/>
      <c r="Q54" s="158"/>
      <c r="R54" s="158"/>
      <c r="S54" s="214"/>
      <c r="T54" s="159"/>
    </row>
    <row r="55" spans="1:20" ht="15.75" x14ac:dyDescent="0.25">
      <c r="A55" s="248">
        <f>E20</f>
        <v>2021</v>
      </c>
      <c r="B55" s="245"/>
      <c r="C55" s="162">
        <f>ROUND(S37,0)</f>
        <v>0</v>
      </c>
      <c r="D55" s="162">
        <f>ROUND(T37,0)</f>
        <v>0</v>
      </c>
      <c r="E55" s="222">
        <f t="shared" si="32"/>
        <v>0</v>
      </c>
      <c r="N55" s="176"/>
      <c r="S55" s="215" t="s">
        <v>138</v>
      </c>
      <c r="T55" s="216" t="s">
        <v>138</v>
      </c>
    </row>
    <row r="56" spans="1:20" ht="15.75" x14ac:dyDescent="0.25">
      <c r="A56" s="248">
        <f>F20</f>
        <v>2020</v>
      </c>
      <c r="B56" s="245"/>
      <c r="C56" s="162">
        <f>ROUND(S49,0)</f>
        <v>0</v>
      </c>
      <c r="D56" s="162">
        <f>ROUND(T49,0)</f>
        <v>0</v>
      </c>
      <c r="E56" s="222">
        <f t="shared" si="32"/>
        <v>0</v>
      </c>
      <c r="N56" s="217" t="s">
        <v>214</v>
      </c>
      <c r="O56" s="218" t="s">
        <v>210</v>
      </c>
      <c r="P56" s="218" t="s">
        <v>211</v>
      </c>
      <c r="Q56" s="218" t="s">
        <v>212</v>
      </c>
      <c r="S56" s="215" t="s">
        <v>237</v>
      </c>
      <c r="T56" s="216" t="s">
        <v>238</v>
      </c>
    </row>
    <row r="57" spans="1:20" x14ac:dyDescent="0.2">
      <c r="A57" s="248">
        <f>G20</f>
        <v>2019</v>
      </c>
      <c r="B57" s="245"/>
      <c r="C57" s="162">
        <f>ROUND(S61,0)</f>
        <v>0</v>
      </c>
      <c r="D57" s="162">
        <f>ROUND(T61,0)</f>
        <v>0</v>
      </c>
      <c r="E57" s="222">
        <f t="shared" si="32"/>
        <v>0</v>
      </c>
      <c r="N57" s="219">
        <f>N46-1</f>
        <v>2019</v>
      </c>
      <c r="O57" s="220">
        <f>G32</f>
        <v>0</v>
      </c>
      <c r="P57" s="220">
        <f>ROUND(IF(O57=0,0,O57/G28),0)</f>
        <v>0</v>
      </c>
      <c r="Q57" s="220">
        <f t="shared" ref="Q57:Q63" si="33">O57-P57</f>
        <v>0</v>
      </c>
      <c r="S57" s="221">
        <f t="shared" ref="S57:S63" si="34">IF(Q57&gt;0,Q57,0)</f>
        <v>0</v>
      </c>
      <c r="T57" s="222">
        <f>IF(Q57&lt;0,Q57,0)</f>
        <v>0</v>
      </c>
    </row>
    <row r="58" spans="1:20" x14ac:dyDescent="0.2">
      <c r="A58" s="248">
        <f>H20</f>
        <v>2018</v>
      </c>
      <c r="B58" s="245"/>
      <c r="C58" s="162">
        <f>ROUND(S73,0)</f>
        <v>0</v>
      </c>
      <c r="D58" s="162">
        <f>ROUND(T73,0)</f>
        <v>0</v>
      </c>
      <c r="E58" s="222">
        <f t="shared" si="32"/>
        <v>0</v>
      </c>
      <c r="N58" s="219">
        <f t="shared" ref="N58:N63" si="35">N57+1</f>
        <v>2020</v>
      </c>
      <c r="O58" s="220">
        <f t="shared" ref="O58:O63" si="36">Q57</f>
        <v>0</v>
      </c>
      <c r="P58" s="220">
        <f>IF($G$28&lt;=2,Q57,P57)</f>
        <v>0</v>
      </c>
      <c r="Q58" s="220">
        <f t="shared" si="33"/>
        <v>0</v>
      </c>
      <c r="S58" s="221">
        <f t="shared" si="34"/>
        <v>0</v>
      </c>
      <c r="T58" s="222">
        <f t="shared" ref="T58:T63" si="37">IF(Q58&lt;0,Q58,0)</f>
        <v>0</v>
      </c>
    </row>
    <row r="59" spans="1:20" x14ac:dyDescent="0.2">
      <c r="A59" s="248">
        <f>I20</f>
        <v>2017</v>
      </c>
      <c r="C59" s="220">
        <f>ROUND(S85,0)</f>
        <v>0</v>
      </c>
      <c r="D59" s="220">
        <f>ROUND(T85,0)</f>
        <v>0</v>
      </c>
      <c r="E59" s="222">
        <f t="shared" si="32"/>
        <v>0</v>
      </c>
      <c r="N59" s="219">
        <f t="shared" si="35"/>
        <v>2021</v>
      </c>
      <c r="O59" s="220">
        <f t="shared" si="36"/>
        <v>0</v>
      </c>
      <c r="P59" s="220">
        <f>IF($G$28&lt;=3,Q58,P58)</f>
        <v>0</v>
      </c>
      <c r="Q59" s="220">
        <f t="shared" si="33"/>
        <v>0</v>
      </c>
      <c r="S59" s="221">
        <f t="shared" si="34"/>
        <v>0</v>
      </c>
      <c r="T59" s="222">
        <f t="shared" si="37"/>
        <v>0</v>
      </c>
    </row>
    <row r="60" spans="1:20" ht="15.75" thickBot="1" x14ac:dyDescent="0.25">
      <c r="A60" s="250" t="s">
        <v>226</v>
      </c>
      <c r="B60" s="245"/>
      <c r="C60" s="241">
        <f>SUM(C53:C58)</f>
        <v>0</v>
      </c>
      <c r="D60" s="241">
        <f>SUM(D53:D58)</f>
        <v>0</v>
      </c>
      <c r="E60" s="242">
        <f>SUM(E53:E59)</f>
        <v>0</v>
      </c>
      <c r="N60" s="219">
        <f t="shared" si="35"/>
        <v>2022</v>
      </c>
      <c r="O60" s="220">
        <f t="shared" si="36"/>
        <v>0</v>
      </c>
      <c r="P60" s="220">
        <f>IF($G$28&lt;=4,Q59,P59)</f>
        <v>0</v>
      </c>
      <c r="Q60" s="220">
        <f t="shared" si="33"/>
        <v>0</v>
      </c>
      <c r="S60" s="221">
        <f t="shared" si="34"/>
        <v>0</v>
      </c>
      <c r="T60" s="222">
        <f t="shared" si="37"/>
        <v>0</v>
      </c>
    </row>
    <row r="61" spans="1:20" ht="15.75" thickTop="1" x14ac:dyDescent="0.2">
      <c r="A61" s="250"/>
      <c r="C61" s="220"/>
      <c r="D61" s="220"/>
      <c r="E61" s="160"/>
      <c r="N61" s="219">
        <f t="shared" si="35"/>
        <v>2023</v>
      </c>
      <c r="O61" s="220">
        <f t="shared" si="36"/>
        <v>0</v>
      </c>
      <c r="P61" s="220">
        <f>IF($G$28&lt;=5,Q60,P60)</f>
        <v>0</v>
      </c>
      <c r="Q61" s="220">
        <f t="shared" si="33"/>
        <v>0</v>
      </c>
      <c r="S61" s="221">
        <f t="shared" si="34"/>
        <v>0</v>
      </c>
      <c r="T61" s="222">
        <f t="shared" si="37"/>
        <v>0</v>
      </c>
    </row>
    <row r="62" spans="1:20" x14ac:dyDescent="0.2">
      <c r="A62" s="176"/>
      <c r="E62" s="160"/>
      <c r="N62" s="219">
        <f t="shared" si="35"/>
        <v>2024</v>
      </c>
      <c r="O62" s="220">
        <f t="shared" si="36"/>
        <v>0</v>
      </c>
      <c r="P62" s="220">
        <f>IF($G$28&lt;=6,Q61,P61)</f>
        <v>0</v>
      </c>
      <c r="Q62" s="220">
        <f t="shared" si="33"/>
        <v>0</v>
      </c>
      <c r="S62" s="221">
        <f t="shared" si="34"/>
        <v>0</v>
      </c>
      <c r="T62" s="222">
        <f t="shared" si="37"/>
        <v>0</v>
      </c>
    </row>
    <row r="63" spans="1:20" ht="15.75" thickBot="1" x14ac:dyDescent="0.25">
      <c r="A63" s="252" t="s">
        <v>338</v>
      </c>
      <c r="B63" s="98"/>
      <c r="C63" s="213"/>
      <c r="D63" s="213"/>
      <c r="E63" s="253" t="s">
        <v>236</v>
      </c>
      <c r="N63" s="223">
        <f t="shared" si="35"/>
        <v>2025</v>
      </c>
      <c r="O63" s="224">
        <f t="shared" si="36"/>
        <v>0</v>
      </c>
      <c r="P63" s="224">
        <f>IF($G$28&lt;=7,Q62,P62)</f>
        <v>0</v>
      </c>
      <c r="Q63" s="224">
        <f t="shared" si="33"/>
        <v>0</v>
      </c>
      <c r="R63" s="98"/>
      <c r="S63" s="225">
        <f t="shared" si="34"/>
        <v>0</v>
      </c>
      <c r="T63" s="226">
        <f t="shared" si="37"/>
        <v>0</v>
      </c>
    </row>
    <row r="64" spans="1:20" ht="15.75" thickBot="1" x14ac:dyDescent="0.25"/>
    <row r="65" spans="1:20" x14ac:dyDescent="0.2">
      <c r="N65" s="157" t="s">
        <v>219</v>
      </c>
      <c r="O65" s="158"/>
      <c r="P65" s="158"/>
      <c r="Q65" s="158"/>
      <c r="R65" s="158"/>
      <c r="S65" s="214"/>
      <c r="T65" s="159"/>
    </row>
    <row r="66" spans="1:20" ht="15" customHeight="1" x14ac:dyDescent="0.25">
      <c r="N66" s="176"/>
      <c r="S66" s="215" t="s">
        <v>138</v>
      </c>
      <c r="T66" s="216" t="s">
        <v>138</v>
      </c>
    </row>
    <row r="67" spans="1:20" ht="15.75" x14ac:dyDescent="0.25">
      <c r="A67" s="255" t="s">
        <v>369</v>
      </c>
      <c r="N67" s="217" t="s">
        <v>214</v>
      </c>
      <c r="O67" s="218" t="s">
        <v>210</v>
      </c>
      <c r="P67" s="218" t="s">
        <v>211</v>
      </c>
      <c r="Q67" s="218" t="s">
        <v>212</v>
      </c>
      <c r="S67" s="215" t="s">
        <v>237</v>
      </c>
      <c r="T67" s="216" t="s">
        <v>238</v>
      </c>
    </row>
    <row r="68" spans="1:20" x14ac:dyDescent="0.2">
      <c r="N68" s="219">
        <f>N57-1</f>
        <v>2018</v>
      </c>
      <c r="O68" s="220">
        <f>H32</f>
        <v>0</v>
      </c>
      <c r="P68" s="220">
        <f>ROUND(IF(O68=0,0,O68/H28),0)</f>
        <v>0</v>
      </c>
      <c r="Q68" s="220">
        <f t="shared" ref="Q68:Q74" si="38">O68-P68</f>
        <v>0</v>
      </c>
      <c r="S68" s="221">
        <f t="shared" ref="S68:S74" si="39">IF(Q68&gt;0,Q68,0)</f>
        <v>0</v>
      </c>
      <c r="T68" s="222">
        <f>IF(Q68&lt;0,Q68,0)</f>
        <v>0</v>
      </c>
    </row>
    <row r="69" spans="1:20" x14ac:dyDescent="0.2">
      <c r="N69" s="219">
        <f t="shared" ref="N69:N74" si="40">N68+1</f>
        <v>2019</v>
      </c>
      <c r="O69" s="220">
        <f t="shared" ref="O69:O74" si="41">Q68</f>
        <v>0</v>
      </c>
      <c r="P69" s="220">
        <f>IF($H$28&lt;=2,Q68,P68)</f>
        <v>0</v>
      </c>
      <c r="Q69" s="220">
        <f t="shared" si="38"/>
        <v>0</v>
      </c>
      <c r="S69" s="221">
        <f t="shared" si="39"/>
        <v>0</v>
      </c>
      <c r="T69" s="222">
        <f t="shared" ref="T69:T74" si="42">IF(Q69&lt;0,Q69,0)</f>
        <v>0</v>
      </c>
    </row>
    <row r="70" spans="1:20" x14ac:dyDescent="0.2">
      <c r="N70" s="219">
        <f t="shared" si="40"/>
        <v>2020</v>
      </c>
      <c r="O70" s="220">
        <f t="shared" si="41"/>
        <v>0</v>
      </c>
      <c r="P70" s="220">
        <f>IF($H$28&lt;=3,Q69,P69)</f>
        <v>0</v>
      </c>
      <c r="Q70" s="220">
        <f t="shared" si="38"/>
        <v>0</v>
      </c>
      <c r="S70" s="221">
        <f t="shared" si="39"/>
        <v>0</v>
      </c>
      <c r="T70" s="222">
        <f t="shared" si="42"/>
        <v>0</v>
      </c>
    </row>
    <row r="71" spans="1:20" ht="15.75" thickBot="1" x14ac:dyDescent="0.25">
      <c r="N71" s="219">
        <f t="shared" si="40"/>
        <v>2021</v>
      </c>
      <c r="O71" s="220">
        <f t="shared" si="41"/>
        <v>0</v>
      </c>
      <c r="P71" s="220">
        <f>IF($H$28&lt;=4,Q70,P70)</f>
        <v>0</v>
      </c>
      <c r="Q71" s="220">
        <f t="shared" si="38"/>
        <v>0</v>
      </c>
      <c r="S71" s="221">
        <f t="shared" si="39"/>
        <v>0</v>
      </c>
      <c r="T71" s="222">
        <f t="shared" si="42"/>
        <v>0</v>
      </c>
    </row>
    <row r="72" spans="1:20" ht="15.75" x14ac:dyDescent="0.25">
      <c r="A72" s="243" t="s">
        <v>396</v>
      </c>
      <c r="B72" s="158"/>
      <c r="C72" s="158"/>
      <c r="D72" s="158"/>
      <c r="E72" s="159"/>
      <c r="N72" s="219">
        <f t="shared" si="40"/>
        <v>2022</v>
      </c>
      <c r="O72" s="220">
        <f t="shared" si="41"/>
        <v>0</v>
      </c>
      <c r="P72" s="220">
        <f>IF($H$28&lt;=5,Q71,P71)</f>
        <v>0</v>
      </c>
      <c r="Q72" s="220">
        <f t="shared" si="38"/>
        <v>0</v>
      </c>
      <c r="S72" s="221">
        <f t="shared" si="39"/>
        <v>0</v>
      </c>
      <c r="T72" s="222">
        <f t="shared" si="42"/>
        <v>0</v>
      </c>
    </row>
    <row r="73" spans="1:20" x14ac:dyDescent="0.2">
      <c r="A73" s="244"/>
      <c r="B73" s="245"/>
      <c r="C73" s="256" t="s">
        <v>399</v>
      </c>
      <c r="D73" s="245"/>
      <c r="E73" s="160"/>
      <c r="N73" s="219">
        <f t="shared" si="40"/>
        <v>2023</v>
      </c>
      <c r="O73" s="220">
        <f t="shared" si="41"/>
        <v>0</v>
      </c>
      <c r="P73" s="220">
        <f>IF($H$28&lt;=6,Q72,P72)</f>
        <v>0</v>
      </c>
      <c r="Q73" s="220">
        <f t="shared" si="38"/>
        <v>0</v>
      </c>
      <c r="S73" s="221">
        <f t="shared" si="39"/>
        <v>0</v>
      </c>
      <c r="T73" s="222">
        <f t="shared" si="42"/>
        <v>0</v>
      </c>
    </row>
    <row r="74" spans="1:20" ht="15.75" thickBot="1" x14ac:dyDescent="0.25">
      <c r="A74" s="176"/>
      <c r="B74" s="245"/>
      <c r="C74" s="256" t="s">
        <v>400</v>
      </c>
      <c r="E74" s="160"/>
      <c r="N74" s="223">
        <f t="shared" si="40"/>
        <v>2024</v>
      </c>
      <c r="O74" s="224">
        <f t="shared" si="41"/>
        <v>0</v>
      </c>
      <c r="P74" s="224">
        <f>IF($H$28&lt;=7,Q73,P73)</f>
        <v>0</v>
      </c>
      <c r="Q74" s="224">
        <f t="shared" si="38"/>
        <v>0</v>
      </c>
      <c r="R74" s="98"/>
      <c r="S74" s="225">
        <f t="shared" si="39"/>
        <v>0</v>
      </c>
      <c r="T74" s="226">
        <f t="shared" si="42"/>
        <v>0</v>
      </c>
    </row>
    <row r="75" spans="1:20" ht="15.75" thickBot="1" x14ac:dyDescent="0.25">
      <c r="A75" s="244" t="s">
        <v>397</v>
      </c>
      <c r="B75" s="245"/>
      <c r="C75" s="257" t="s">
        <v>401</v>
      </c>
      <c r="D75" s="245"/>
      <c r="E75" s="160"/>
    </row>
    <row r="76" spans="1:20" x14ac:dyDescent="0.2">
      <c r="A76" s="248"/>
      <c r="B76" s="245"/>
      <c r="C76" s="254"/>
      <c r="D76" s="162"/>
      <c r="E76" s="160"/>
      <c r="N76" s="157" t="s">
        <v>220</v>
      </c>
      <c r="O76" s="158"/>
      <c r="P76" s="158"/>
      <c r="Q76" s="158"/>
      <c r="R76" s="158"/>
      <c r="S76" s="214"/>
      <c r="T76" s="159"/>
    </row>
    <row r="77" spans="1:20" ht="15.75" x14ac:dyDescent="0.25">
      <c r="A77" s="248">
        <f>N14+1</f>
        <v>2025</v>
      </c>
      <c r="B77" s="245"/>
      <c r="C77" s="162">
        <f>ROUND(P14+P26+P38+P50+P62+P74,0)</f>
        <v>0</v>
      </c>
      <c r="D77" s="162"/>
      <c r="E77" s="258"/>
      <c r="N77" s="176"/>
      <c r="S77" s="215" t="s">
        <v>138</v>
      </c>
      <c r="T77" s="216" t="s">
        <v>138</v>
      </c>
    </row>
    <row r="78" spans="1:20" ht="15.75" x14ac:dyDescent="0.25">
      <c r="A78" s="248">
        <f>N15+1</f>
        <v>2026</v>
      </c>
      <c r="B78" s="245"/>
      <c r="C78" s="162">
        <f>ROUND(P15+P27+P39+P51+P63,0)</f>
        <v>0</v>
      </c>
      <c r="D78" s="162"/>
      <c r="E78" s="160"/>
      <c r="N78" s="217" t="s">
        <v>214</v>
      </c>
      <c r="O78" s="218" t="s">
        <v>210</v>
      </c>
      <c r="P78" s="218" t="s">
        <v>211</v>
      </c>
      <c r="Q78" s="218" t="s">
        <v>212</v>
      </c>
      <c r="S78" s="215" t="s">
        <v>237</v>
      </c>
      <c r="T78" s="216" t="s">
        <v>238</v>
      </c>
    </row>
    <row r="79" spans="1:20" x14ac:dyDescent="0.2">
      <c r="A79" s="248">
        <f>N16+1</f>
        <v>2027</v>
      </c>
      <c r="B79" s="245"/>
      <c r="C79" s="162">
        <f>ROUND(P16+P28+P40+P52,0)</f>
        <v>0</v>
      </c>
      <c r="D79" s="162"/>
      <c r="E79" s="160"/>
      <c r="N79" s="219">
        <f>N68-1</f>
        <v>2017</v>
      </c>
      <c r="O79" s="220">
        <f>I32</f>
        <v>0</v>
      </c>
      <c r="P79" s="220">
        <f>ROUND(IF(O79=0,0,O79/I28),0)</f>
        <v>0</v>
      </c>
      <c r="Q79" s="220">
        <f t="shared" ref="Q79:Q85" si="43">O79-P79</f>
        <v>0</v>
      </c>
      <c r="S79" s="221">
        <f t="shared" ref="S79:S85" si="44">IF(Q79&gt;0,Q79,0)</f>
        <v>0</v>
      </c>
      <c r="T79" s="222">
        <f>IF(Q79&lt;0,Q79,0)</f>
        <v>0</v>
      </c>
    </row>
    <row r="80" spans="1:20" x14ac:dyDescent="0.2">
      <c r="A80" s="248">
        <f>N17+1</f>
        <v>2028</v>
      </c>
      <c r="B80" s="245"/>
      <c r="C80" s="162">
        <f>ROUND(P17+P29+P41,0)</f>
        <v>0</v>
      </c>
      <c r="D80" s="162"/>
      <c r="E80" s="160"/>
      <c r="N80" s="219">
        <f t="shared" ref="N80:N85" si="45">N79+1</f>
        <v>2018</v>
      </c>
      <c r="O80" s="220">
        <f t="shared" ref="O80:O85" si="46">Q79</f>
        <v>0</v>
      </c>
      <c r="P80" s="220">
        <f>IF($I$28&lt;=2,Q79,P79)</f>
        <v>0</v>
      </c>
      <c r="Q80" s="220">
        <f t="shared" si="43"/>
        <v>0</v>
      </c>
      <c r="S80" s="221">
        <f t="shared" si="44"/>
        <v>0</v>
      </c>
      <c r="T80" s="222">
        <f t="shared" ref="T80:T85" si="47">IF(Q80&lt;0,Q80,0)</f>
        <v>0</v>
      </c>
    </row>
    <row r="81" spans="1:20" x14ac:dyDescent="0.2">
      <c r="A81" s="248">
        <f>N18+1</f>
        <v>2029</v>
      </c>
      <c r="B81" s="245"/>
      <c r="C81" s="162">
        <f>ROUND(P18+P30+C86,0)</f>
        <v>0</v>
      </c>
      <c r="D81" s="162"/>
      <c r="E81" s="160"/>
      <c r="N81" s="219">
        <f t="shared" si="45"/>
        <v>2019</v>
      </c>
      <c r="O81" s="220">
        <f t="shared" si="46"/>
        <v>0</v>
      </c>
      <c r="P81" s="220">
        <f>IF($I$28&lt;=3,Q80,P80)</f>
        <v>0</v>
      </c>
      <c r="Q81" s="220">
        <f t="shared" si="43"/>
        <v>0</v>
      </c>
      <c r="S81" s="221">
        <f t="shared" si="44"/>
        <v>0</v>
      </c>
      <c r="T81" s="222">
        <f t="shared" si="47"/>
        <v>0</v>
      </c>
    </row>
    <row r="82" spans="1:20" x14ac:dyDescent="0.2">
      <c r="A82" s="248" t="s">
        <v>143</v>
      </c>
      <c r="C82" s="220">
        <f>P19</f>
        <v>0</v>
      </c>
      <c r="D82" s="220"/>
      <c r="E82" s="160"/>
      <c r="N82" s="219">
        <f t="shared" si="45"/>
        <v>2020</v>
      </c>
      <c r="O82" s="220">
        <f t="shared" si="46"/>
        <v>0</v>
      </c>
      <c r="P82" s="220">
        <f>IF($I$28&lt;=4,Q81,P81)</f>
        <v>0</v>
      </c>
      <c r="Q82" s="220">
        <f t="shared" si="43"/>
        <v>0</v>
      </c>
      <c r="S82" s="221">
        <f t="shared" si="44"/>
        <v>0</v>
      </c>
      <c r="T82" s="222">
        <f t="shared" si="47"/>
        <v>0</v>
      </c>
    </row>
    <row r="83" spans="1:20" ht="15.75" customHeight="1" thickBot="1" x14ac:dyDescent="0.25">
      <c r="A83" s="250"/>
      <c r="B83" s="245"/>
      <c r="C83" s="241">
        <f>SUM(C77:C82)</f>
        <v>0</v>
      </c>
      <c r="D83" s="220"/>
      <c r="E83" s="160"/>
      <c r="N83" s="219">
        <f t="shared" si="45"/>
        <v>2021</v>
      </c>
      <c r="O83" s="220">
        <f t="shared" si="46"/>
        <v>0</v>
      </c>
      <c r="P83" s="220">
        <f>IF($I$28&lt;=5,Q82,P82)</f>
        <v>0</v>
      </c>
      <c r="Q83" s="220">
        <f t="shared" si="43"/>
        <v>0</v>
      </c>
      <c r="S83" s="221">
        <f t="shared" si="44"/>
        <v>0</v>
      </c>
      <c r="T83" s="222">
        <f t="shared" si="47"/>
        <v>0</v>
      </c>
    </row>
    <row r="84" spans="1:20" ht="15.75" thickTop="1" x14ac:dyDescent="0.2">
      <c r="A84" s="250"/>
      <c r="C84" s="220"/>
      <c r="D84" s="220"/>
      <c r="E84" s="160"/>
      <c r="N84" s="219">
        <f t="shared" si="45"/>
        <v>2022</v>
      </c>
      <c r="O84" s="220">
        <f t="shared" si="46"/>
        <v>0</v>
      </c>
      <c r="P84" s="220">
        <f>IF($I$28&lt;=6,Q83,P83)</f>
        <v>0</v>
      </c>
      <c r="Q84" s="220">
        <f t="shared" si="43"/>
        <v>0</v>
      </c>
      <c r="S84" s="221">
        <f t="shared" si="44"/>
        <v>0</v>
      </c>
      <c r="T84" s="222">
        <f t="shared" si="47"/>
        <v>0</v>
      </c>
    </row>
    <row r="85" spans="1:20" ht="15.75" thickBot="1" x14ac:dyDescent="0.25">
      <c r="A85" s="248" t="s">
        <v>130</v>
      </c>
      <c r="C85" s="220">
        <f>E60-C83</f>
        <v>0</v>
      </c>
      <c r="E85" s="160"/>
      <c r="N85" s="223">
        <f t="shared" si="45"/>
        <v>2023</v>
      </c>
      <c r="O85" s="224">
        <f t="shared" si="46"/>
        <v>0</v>
      </c>
      <c r="P85" s="224">
        <f>IF($I$28&lt;=7,Q84,P84)</f>
        <v>0</v>
      </c>
      <c r="Q85" s="224">
        <f t="shared" si="43"/>
        <v>0</v>
      </c>
      <c r="R85" s="98"/>
      <c r="S85" s="225">
        <f t="shared" si="44"/>
        <v>0</v>
      </c>
      <c r="T85" s="226">
        <f t="shared" si="47"/>
        <v>0</v>
      </c>
    </row>
    <row r="86" spans="1:20" ht="15.75" thickBot="1" x14ac:dyDescent="0.25">
      <c r="A86" s="252" t="s">
        <v>338</v>
      </c>
      <c r="B86" s="98"/>
      <c r="C86" s="213"/>
      <c r="D86" s="296" t="s">
        <v>236</v>
      </c>
      <c r="E86" s="253"/>
    </row>
    <row r="87" spans="1:20" x14ac:dyDescent="0.2">
      <c r="N87" s="520"/>
      <c r="O87" s="521"/>
      <c r="P87" s="521"/>
      <c r="Q87" s="521"/>
      <c r="R87" s="521"/>
      <c r="S87" s="521"/>
      <c r="T87" s="521"/>
    </row>
    <row r="88" spans="1:20" ht="15.75" x14ac:dyDescent="0.25">
      <c r="N88" s="521"/>
      <c r="O88" s="521"/>
      <c r="P88" s="521"/>
      <c r="Q88" s="521"/>
      <c r="R88" s="521"/>
      <c r="S88" s="522"/>
      <c r="T88" s="522"/>
    </row>
    <row r="89" spans="1:20" ht="15.75" x14ac:dyDescent="0.25">
      <c r="N89" s="523"/>
      <c r="O89" s="523"/>
      <c r="P89" s="523"/>
      <c r="Q89" s="523"/>
      <c r="R89" s="521"/>
      <c r="S89" s="522"/>
      <c r="T89" s="522"/>
    </row>
    <row r="90" spans="1:20" x14ac:dyDescent="0.2">
      <c r="N90" s="524"/>
      <c r="O90" s="516"/>
      <c r="P90" s="516"/>
      <c r="Q90" s="516"/>
      <c r="R90" s="521"/>
      <c r="S90" s="516"/>
      <c r="T90" s="516"/>
    </row>
    <row r="91" spans="1:20" x14ac:dyDescent="0.2">
      <c r="N91" s="524"/>
      <c r="O91" s="516"/>
      <c r="P91" s="516"/>
      <c r="Q91" s="516"/>
      <c r="R91" s="521"/>
      <c r="S91" s="516"/>
      <c r="T91" s="516"/>
    </row>
    <row r="92" spans="1:20" x14ac:dyDescent="0.2">
      <c r="N92" s="524"/>
      <c r="O92" s="516"/>
      <c r="P92" s="516"/>
      <c r="Q92" s="516"/>
      <c r="R92" s="521"/>
      <c r="S92" s="516"/>
      <c r="T92" s="516"/>
    </row>
    <row r="93" spans="1:20" x14ac:dyDescent="0.2">
      <c r="N93" s="524"/>
      <c r="O93" s="516"/>
      <c r="P93" s="516"/>
      <c r="Q93" s="516"/>
      <c r="R93" s="521"/>
      <c r="S93" s="516"/>
      <c r="T93" s="516"/>
    </row>
    <row r="94" spans="1:20" x14ac:dyDescent="0.2">
      <c r="N94" s="524"/>
      <c r="O94" s="516"/>
      <c r="P94" s="516"/>
      <c r="Q94" s="516"/>
      <c r="R94" s="521"/>
      <c r="S94" s="516"/>
      <c r="T94" s="516"/>
    </row>
    <row r="95" spans="1:20" x14ac:dyDescent="0.2">
      <c r="N95" s="524"/>
      <c r="O95" s="516"/>
      <c r="P95" s="516"/>
      <c r="Q95" s="516"/>
      <c r="R95" s="521"/>
      <c r="S95" s="516"/>
      <c r="T95" s="516"/>
    </row>
    <row r="96" spans="1:20" x14ac:dyDescent="0.2">
      <c r="N96" s="524"/>
      <c r="O96" s="516"/>
      <c r="P96" s="516"/>
      <c r="Q96" s="516"/>
      <c r="R96" s="521"/>
      <c r="S96" s="516"/>
      <c r="T96" s="516"/>
    </row>
    <row r="97" spans="14:20" x14ac:dyDescent="0.2">
      <c r="N97" s="521"/>
      <c r="O97" s="521"/>
      <c r="P97" s="521"/>
      <c r="Q97" s="521"/>
      <c r="R97" s="521"/>
      <c r="S97" s="521"/>
      <c r="T97" s="521"/>
    </row>
    <row r="98" spans="14:20" x14ac:dyDescent="0.2">
      <c r="N98" s="520"/>
      <c r="O98" s="521"/>
      <c r="P98" s="521"/>
      <c r="Q98" s="521"/>
      <c r="R98" s="521"/>
      <c r="S98" s="521"/>
      <c r="T98" s="521"/>
    </row>
    <row r="99" spans="14:20" ht="15.75" x14ac:dyDescent="0.25">
      <c r="N99" s="521"/>
      <c r="O99" s="521"/>
      <c r="P99" s="521"/>
      <c r="Q99" s="521"/>
      <c r="R99" s="521"/>
      <c r="S99" s="522"/>
      <c r="T99" s="522"/>
    </row>
    <row r="100" spans="14:20" ht="15" customHeight="1" x14ac:dyDescent="0.25">
      <c r="N100" s="523"/>
      <c r="O100" s="523"/>
      <c r="P100" s="523"/>
      <c r="Q100" s="523"/>
      <c r="R100" s="521"/>
      <c r="S100" s="522"/>
      <c r="T100" s="522"/>
    </row>
    <row r="101" spans="14:20" x14ac:dyDescent="0.2">
      <c r="N101" s="524"/>
      <c r="O101" s="516"/>
      <c r="P101" s="516"/>
      <c r="Q101" s="516"/>
      <c r="R101" s="521"/>
      <c r="S101" s="516"/>
      <c r="T101" s="516"/>
    </row>
    <row r="102" spans="14:20" x14ac:dyDescent="0.2">
      <c r="N102" s="524"/>
      <c r="O102" s="516"/>
      <c r="P102" s="516"/>
      <c r="Q102" s="516"/>
      <c r="R102" s="521"/>
      <c r="S102" s="516"/>
      <c r="T102" s="516"/>
    </row>
    <row r="103" spans="14:20" x14ac:dyDescent="0.2">
      <c r="N103" s="524"/>
      <c r="O103" s="516"/>
      <c r="P103" s="516"/>
      <c r="Q103" s="516"/>
      <c r="R103" s="521"/>
      <c r="S103" s="516"/>
      <c r="T103" s="516"/>
    </row>
    <row r="104" spans="14:20" x14ac:dyDescent="0.2">
      <c r="N104" s="524"/>
      <c r="O104" s="516"/>
      <c r="P104" s="516"/>
      <c r="Q104" s="516"/>
      <c r="R104" s="521"/>
      <c r="S104" s="516"/>
      <c r="T104" s="516"/>
    </row>
    <row r="105" spans="14:20" x14ac:dyDescent="0.2">
      <c r="N105" s="524"/>
      <c r="O105" s="516"/>
      <c r="P105" s="516"/>
      <c r="Q105" s="516"/>
      <c r="R105" s="521"/>
      <c r="S105" s="516"/>
      <c r="T105" s="516"/>
    </row>
    <row r="106" spans="14:20" x14ac:dyDescent="0.2">
      <c r="N106" s="524"/>
      <c r="O106" s="516"/>
      <c r="P106" s="516"/>
      <c r="Q106" s="516"/>
      <c r="R106" s="521"/>
      <c r="S106" s="516"/>
      <c r="T106" s="516"/>
    </row>
    <row r="107" spans="14:20" x14ac:dyDescent="0.2">
      <c r="N107" s="524"/>
      <c r="O107" s="516"/>
      <c r="P107" s="516"/>
      <c r="Q107" s="516"/>
      <c r="R107" s="521"/>
      <c r="S107" s="516"/>
      <c r="T107" s="516"/>
    </row>
    <row r="108" spans="14:20" x14ac:dyDescent="0.2">
      <c r="N108" s="521"/>
      <c r="O108" s="521"/>
      <c r="P108" s="521"/>
      <c r="Q108" s="521"/>
      <c r="R108" s="521"/>
      <c r="S108" s="521"/>
      <c r="T108" s="521"/>
    </row>
    <row r="109" spans="14:20" x14ac:dyDescent="0.2">
      <c r="N109" s="520"/>
      <c r="O109" s="521"/>
      <c r="P109" s="521"/>
      <c r="Q109" s="521"/>
      <c r="R109" s="521"/>
      <c r="S109" s="521"/>
      <c r="T109" s="521"/>
    </row>
    <row r="110" spans="14:20" ht="15.75" x14ac:dyDescent="0.25">
      <c r="N110" s="521"/>
      <c r="O110" s="521"/>
      <c r="P110" s="521"/>
      <c r="Q110" s="521"/>
      <c r="R110" s="521"/>
      <c r="S110" s="522"/>
      <c r="T110" s="522"/>
    </row>
    <row r="111" spans="14:20" ht="15.75" x14ac:dyDescent="0.25">
      <c r="N111" s="523"/>
      <c r="O111" s="523"/>
      <c r="P111" s="523"/>
      <c r="Q111" s="523"/>
      <c r="R111" s="521"/>
      <c r="S111" s="522"/>
      <c r="T111" s="522"/>
    </row>
    <row r="112" spans="14:20" x14ac:dyDescent="0.2">
      <c r="N112" s="524"/>
      <c r="O112" s="516"/>
      <c r="P112" s="516"/>
      <c r="Q112" s="516"/>
      <c r="R112" s="521"/>
      <c r="S112" s="516"/>
      <c r="T112" s="516"/>
    </row>
    <row r="113" spans="14:20" x14ac:dyDescent="0.2">
      <c r="N113" s="524"/>
      <c r="O113" s="516"/>
      <c r="P113" s="516"/>
      <c r="Q113" s="516"/>
      <c r="R113" s="521"/>
      <c r="S113" s="516"/>
      <c r="T113" s="516"/>
    </row>
    <row r="114" spans="14:20" x14ac:dyDescent="0.2">
      <c r="N114" s="524"/>
      <c r="O114" s="516"/>
      <c r="P114" s="516"/>
      <c r="Q114" s="516"/>
      <c r="R114" s="521"/>
      <c r="S114" s="516"/>
      <c r="T114" s="516"/>
    </row>
    <row r="115" spans="14:20" x14ac:dyDescent="0.2">
      <c r="N115" s="524"/>
      <c r="O115" s="516"/>
      <c r="P115" s="516"/>
      <c r="Q115" s="516"/>
      <c r="R115" s="521"/>
      <c r="S115" s="516"/>
      <c r="T115" s="516"/>
    </row>
    <row r="116" spans="14:20" x14ac:dyDescent="0.2">
      <c r="N116" s="524"/>
      <c r="O116" s="516"/>
      <c r="P116" s="516"/>
      <c r="Q116" s="516"/>
      <c r="R116" s="521"/>
      <c r="S116" s="516"/>
      <c r="T116" s="516"/>
    </row>
    <row r="117" spans="14:20" x14ac:dyDescent="0.2">
      <c r="N117" s="524"/>
      <c r="O117" s="516"/>
      <c r="P117" s="516"/>
      <c r="Q117" s="516"/>
      <c r="R117" s="521"/>
      <c r="S117" s="516"/>
      <c r="T117" s="516"/>
    </row>
    <row r="118" spans="14:20" x14ac:dyDescent="0.2">
      <c r="N118" s="524"/>
      <c r="O118" s="516"/>
      <c r="P118" s="516"/>
      <c r="Q118" s="516"/>
      <c r="R118" s="521"/>
      <c r="S118" s="516"/>
      <c r="T118" s="516"/>
    </row>
    <row r="119" spans="14:20" x14ac:dyDescent="0.2">
      <c r="N119" s="521"/>
      <c r="O119" s="521"/>
      <c r="P119" s="521"/>
      <c r="Q119" s="521"/>
      <c r="R119" s="521"/>
      <c r="S119" s="521"/>
      <c r="T119" s="521"/>
    </row>
  </sheetData>
  <sheetProtection algorithmName="SHA-512" hashValue="3fFw+iIqN02e2vorc+5d8rLNwIqZgQ3yn1SFEXo+jC3pxHMFajqoB/3vDYSRHLW33osJD3G+2bhwnQRVKH5O8Q==" saltValue="geMiSPRpKkyhu9UsgAHiQw==" spinCount="100000" sheet="1" objects="1" scenarios="1"/>
  <mergeCells count="6">
    <mergeCell ref="N8:T8"/>
    <mergeCell ref="C51:C52"/>
    <mergeCell ref="D51:D52"/>
    <mergeCell ref="E51:E52"/>
    <mergeCell ref="C12:I17"/>
    <mergeCell ref="C19:L19"/>
  </mergeCells>
  <pageMargins left="0.7" right="0.7" top="0.75" bottom="0.75" header="0.3" footer="0.3"/>
  <pageSetup orientation="portrait" r:id="rId1"/>
  <cellWatches>
    <cellWatch r="C85"/>
  </cellWatche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7" tint="0.59999389629810485"/>
  </sheetPr>
  <dimension ref="A1:R94"/>
  <sheetViews>
    <sheetView zoomScale="85" zoomScaleNormal="85" workbookViewId="0">
      <selection activeCell="H17" sqref="H17"/>
    </sheetView>
  </sheetViews>
  <sheetFormatPr defaultColWidth="8.88671875" defaultRowHeight="15" x14ac:dyDescent="0.2"/>
  <cols>
    <col min="1" max="1" width="61.21875" customWidth="1"/>
    <col min="2" max="2" width="1" customWidth="1"/>
    <col min="3" max="3" width="12.21875" customWidth="1"/>
    <col min="4" max="4" width="12.88671875" customWidth="1"/>
    <col min="5" max="5" width="12.109375" bestFit="1" customWidth="1"/>
    <col min="6" max="9" width="12.109375" customWidth="1"/>
    <col min="10" max="10" width="1.5546875" customWidth="1"/>
    <col min="11" max="11" width="1.77734375" customWidth="1"/>
    <col min="12" max="12" width="10.77734375" customWidth="1"/>
    <col min="13" max="13" width="12.21875" bestFit="1" customWidth="1"/>
    <col min="14" max="14" width="10.6640625" bestFit="1" customWidth="1"/>
    <col min="15" max="15" width="9.5546875" bestFit="1" customWidth="1"/>
    <col min="16" max="16" width="1.21875" customWidth="1"/>
    <col min="18" max="18" width="9.5546875" bestFit="1" customWidth="1"/>
  </cols>
  <sheetData>
    <row r="1" spans="1:18" ht="18.75" thickBot="1" x14ac:dyDescent="0.3">
      <c r="A1" s="22" t="s">
        <v>228</v>
      </c>
      <c r="C1" s="20" t="s">
        <v>18</v>
      </c>
    </row>
    <row r="2" spans="1:18" ht="18.75" thickBot="1" x14ac:dyDescent="0.3">
      <c r="C2" s="20" t="s">
        <v>461</v>
      </c>
      <c r="L2" s="486" t="s">
        <v>368</v>
      </c>
      <c r="M2" s="487"/>
      <c r="N2" s="487"/>
      <c r="O2" s="487"/>
      <c r="P2" s="487"/>
      <c r="Q2" s="487"/>
      <c r="R2" s="488"/>
    </row>
    <row r="3" spans="1:18" ht="15.75" thickBot="1" x14ac:dyDescent="0.25"/>
    <row r="4" spans="1:18" x14ac:dyDescent="0.2">
      <c r="A4" s="45" t="s">
        <v>209</v>
      </c>
      <c r="C4" s="62">
        <f>'Change in Proportion - LEA'!C10</f>
        <v>2024</v>
      </c>
      <c r="L4" s="157" t="s">
        <v>213</v>
      </c>
      <c r="M4" s="158"/>
      <c r="N4" s="158"/>
      <c r="O4" s="158"/>
      <c r="P4" s="158"/>
      <c r="Q4" s="214"/>
      <c r="R4" s="159"/>
    </row>
    <row r="5" spans="1:18" ht="15.75" x14ac:dyDescent="0.25">
      <c r="A5" s="23"/>
      <c r="L5" s="176"/>
      <c r="Q5" s="215" t="s">
        <v>138</v>
      </c>
      <c r="R5" s="216" t="s">
        <v>138</v>
      </c>
    </row>
    <row r="6" spans="1:18" ht="15.75" x14ac:dyDescent="0.25">
      <c r="C6" s="23" t="s">
        <v>203</v>
      </c>
      <c r="L6" s="217" t="s">
        <v>214</v>
      </c>
      <c r="M6" s="218" t="s">
        <v>210</v>
      </c>
      <c r="N6" s="218" t="s">
        <v>211</v>
      </c>
      <c r="O6" s="218" t="s">
        <v>212</v>
      </c>
      <c r="Q6" s="215" t="s">
        <v>237</v>
      </c>
      <c r="R6" s="216" t="s">
        <v>238</v>
      </c>
    </row>
    <row r="7" spans="1:18" x14ac:dyDescent="0.2">
      <c r="C7" s="23" t="s">
        <v>204</v>
      </c>
      <c r="L7" s="219">
        <f>C4-1</f>
        <v>2023</v>
      </c>
      <c r="M7" s="220" t="e">
        <f>C26</f>
        <v>#REF!</v>
      </c>
      <c r="N7" s="220" t="e">
        <f>ROUND(IF(M7=0,0,M7/$C$22),0)</f>
        <v>#REF!</v>
      </c>
      <c r="O7" s="220" t="e">
        <f t="shared" ref="O7:O13" si="0">M7-N7</f>
        <v>#REF!</v>
      </c>
      <c r="Q7" s="221" t="e">
        <f t="shared" ref="Q7:Q13" si="1">IF(O7&gt;0,O7,0)</f>
        <v>#REF!</v>
      </c>
      <c r="R7" s="222" t="e">
        <f>IF(O7&lt;0,O7,0)</f>
        <v>#REF!</v>
      </c>
    </row>
    <row r="8" spans="1:18" x14ac:dyDescent="0.2">
      <c r="C8" s="23" t="s">
        <v>205</v>
      </c>
      <c r="L8" s="219">
        <f t="shared" ref="L8:L13" si="2">L7+1</f>
        <v>2024</v>
      </c>
      <c r="M8" s="220" t="e">
        <f t="shared" ref="M8:M13" si="3">O7</f>
        <v>#REF!</v>
      </c>
      <c r="N8" s="220" t="e">
        <f>IF($C$22&lt;=2,O7,N7)</f>
        <v>#REF!</v>
      </c>
      <c r="O8" s="220" t="e">
        <f t="shared" si="0"/>
        <v>#REF!</v>
      </c>
      <c r="Q8" s="221" t="e">
        <f t="shared" si="1"/>
        <v>#REF!</v>
      </c>
      <c r="R8" s="222" t="e">
        <f t="shared" ref="R8:R13" si="4">IF(O8&lt;0,O8,0)</f>
        <v>#REF!</v>
      </c>
    </row>
    <row r="9" spans="1:18" x14ac:dyDescent="0.2">
      <c r="C9" s="23" t="s">
        <v>425</v>
      </c>
      <c r="L9" s="219">
        <f t="shared" si="2"/>
        <v>2025</v>
      </c>
      <c r="M9" s="220" t="e">
        <f t="shared" si="3"/>
        <v>#REF!</v>
      </c>
      <c r="N9" s="220" t="e">
        <f>IF($C$22&lt;=3,O8,N8)</f>
        <v>#REF!</v>
      </c>
      <c r="O9" s="220" t="e">
        <f t="shared" si="0"/>
        <v>#REF!</v>
      </c>
      <c r="Q9" s="221" t="e">
        <f t="shared" si="1"/>
        <v>#REF!</v>
      </c>
      <c r="R9" s="222" t="e">
        <f t="shared" si="4"/>
        <v>#REF!</v>
      </c>
    </row>
    <row r="10" spans="1:18" x14ac:dyDescent="0.2">
      <c r="C10" s="23" t="s">
        <v>206</v>
      </c>
      <c r="L10" s="219">
        <f t="shared" si="2"/>
        <v>2026</v>
      </c>
      <c r="M10" s="220" t="e">
        <f t="shared" si="3"/>
        <v>#REF!</v>
      </c>
      <c r="N10" s="220" t="e">
        <f>IF($C$22&lt;=4,O9,N9)</f>
        <v>#REF!</v>
      </c>
      <c r="O10" s="220" t="e">
        <f t="shared" si="0"/>
        <v>#REF!</v>
      </c>
      <c r="Q10" s="221" t="e">
        <f t="shared" si="1"/>
        <v>#REF!</v>
      </c>
      <c r="R10" s="222" t="e">
        <f t="shared" si="4"/>
        <v>#REF!</v>
      </c>
    </row>
    <row r="11" spans="1:18" x14ac:dyDescent="0.2">
      <c r="C11" s="23" t="s">
        <v>207</v>
      </c>
      <c r="L11" s="219">
        <f t="shared" si="2"/>
        <v>2027</v>
      </c>
      <c r="M11" s="220" t="e">
        <f t="shared" si="3"/>
        <v>#REF!</v>
      </c>
      <c r="N11" s="220" t="e">
        <f>IF($C$22&lt;=5,O10,N10)</f>
        <v>#REF!</v>
      </c>
      <c r="O11" s="220" t="e">
        <f t="shared" si="0"/>
        <v>#REF!</v>
      </c>
      <c r="Q11" s="221" t="e">
        <f t="shared" si="1"/>
        <v>#REF!</v>
      </c>
      <c r="R11" s="222" t="e">
        <f t="shared" si="4"/>
        <v>#REF!</v>
      </c>
    </row>
    <row r="12" spans="1:18" ht="15.75" thickBot="1" x14ac:dyDescent="0.25">
      <c r="L12" s="219">
        <f t="shared" si="2"/>
        <v>2028</v>
      </c>
      <c r="M12" s="220" t="e">
        <f t="shared" si="3"/>
        <v>#REF!</v>
      </c>
      <c r="N12" s="220" t="e">
        <f>IF($C$22&lt;=6,O11,N11)</f>
        <v>#REF!</v>
      </c>
      <c r="O12" s="220" t="e">
        <f t="shared" si="0"/>
        <v>#REF!</v>
      </c>
      <c r="Q12" s="221" t="e">
        <f t="shared" si="1"/>
        <v>#REF!</v>
      </c>
      <c r="R12" s="222" t="e">
        <f t="shared" si="4"/>
        <v>#REF!</v>
      </c>
    </row>
    <row r="13" spans="1:18" ht="16.5" thickBot="1" x14ac:dyDescent="0.3">
      <c r="A13" s="157"/>
      <c r="B13" s="158"/>
      <c r="C13" s="492" t="s">
        <v>195</v>
      </c>
      <c r="D13" s="493"/>
      <c r="E13" s="493"/>
      <c r="F13" s="493"/>
      <c r="G13" s="493"/>
      <c r="H13" s="493"/>
      <c r="I13" s="494"/>
      <c r="L13" s="223">
        <f t="shared" si="2"/>
        <v>2029</v>
      </c>
      <c r="M13" s="224" t="e">
        <f t="shared" si="3"/>
        <v>#REF!</v>
      </c>
      <c r="N13" s="224" t="e">
        <f>IF($C$22&lt;=7,O12,N12)</f>
        <v>#REF!</v>
      </c>
      <c r="O13" s="224" t="e">
        <f t="shared" si="0"/>
        <v>#REF!</v>
      </c>
      <c r="P13" s="98"/>
      <c r="Q13" s="225" t="e">
        <f t="shared" si="1"/>
        <v>#REF!</v>
      </c>
      <c r="R13" s="226" t="e">
        <f t="shared" si="4"/>
        <v>#REF!</v>
      </c>
    </row>
    <row r="14" spans="1:18" ht="16.5" thickBot="1" x14ac:dyDescent="0.3">
      <c r="A14" s="176"/>
      <c r="C14" s="228">
        <f>C4-1</f>
        <v>2023</v>
      </c>
      <c r="D14" s="228">
        <f>C14-1</f>
        <v>2022</v>
      </c>
      <c r="E14" s="228">
        <f>C14-2</f>
        <v>2021</v>
      </c>
      <c r="F14" s="228">
        <f>C14-3</f>
        <v>2020</v>
      </c>
      <c r="G14" s="228">
        <f>C14-4</f>
        <v>2019</v>
      </c>
      <c r="H14" s="228">
        <f>C14-5</f>
        <v>2018</v>
      </c>
      <c r="I14" s="228">
        <f>C14-6</f>
        <v>2017</v>
      </c>
    </row>
    <row r="15" spans="1:18" ht="15.75" thickBot="1" x14ac:dyDescent="0.25">
      <c r="A15" s="176"/>
      <c r="C15" s="230" t="s">
        <v>196</v>
      </c>
      <c r="D15" s="230" t="s">
        <v>197</v>
      </c>
      <c r="E15" s="230" t="s">
        <v>198</v>
      </c>
      <c r="F15" s="230" t="s">
        <v>199</v>
      </c>
      <c r="G15" s="230" t="s">
        <v>200</v>
      </c>
      <c r="H15" s="230" t="s">
        <v>201</v>
      </c>
      <c r="I15" s="230" t="s">
        <v>202</v>
      </c>
      <c r="L15" s="157" t="s">
        <v>215</v>
      </c>
      <c r="M15" s="158"/>
      <c r="N15" s="158"/>
      <c r="O15" s="158"/>
      <c r="P15" s="158"/>
      <c r="Q15" s="214"/>
      <c r="R15" s="159"/>
    </row>
    <row r="16" spans="1:18" ht="15.75" x14ac:dyDescent="0.25">
      <c r="A16" s="231"/>
      <c r="C16" s="232"/>
      <c r="D16" s="233"/>
      <c r="E16" s="158"/>
      <c r="F16" s="158"/>
      <c r="G16" s="158"/>
      <c r="H16" s="158"/>
      <c r="I16" s="159"/>
      <c r="L16" s="176"/>
      <c r="Q16" s="215" t="s">
        <v>138</v>
      </c>
      <c r="R16" s="216" t="s">
        <v>138</v>
      </c>
    </row>
    <row r="17" spans="1:18" ht="15.75" x14ac:dyDescent="0.25">
      <c r="A17" s="234" t="s">
        <v>230</v>
      </c>
      <c r="C17" s="235" t="e">
        <f>'Net LEA Amounts'!#REF!</f>
        <v>#REF!</v>
      </c>
      <c r="D17" s="236" t="e">
        <f>'Net LEA Amounts'!#REF!</f>
        <v>#REF!</v>
      </c>
      <c r="E17" s="107">
        <v>0</v>
      </c>
      <c r="F17" s="107">
        <v>0</v>
      </c>
      <c r="G17" s="350">
        <v>0</v>
      </c>
      <c r="H17" s="107">
        <v>0</v>
      </c>
      <c r="I17" s="338">
        <v>0</v>
      </c>
      <c r="L17" s="217" t="s">
        <v>214</v>
      </c>
      <c r="M17" s="218" t="s">
        <v>210</v>
      </c>
      <c r="N17" s="218" t="s">
        <v>211</v>
      </c>
      <c r="O17" s="218" t="s">
        <v>212</v>
      </c>
      <c r="Q17" s="215" t="s">
        <v>237</v>
      </c>
      <c r="R17" s="216" t="s">
        <v>238</v>
      </c>
    </row>
    <row r="18" spans="1:18" ht="15.75" x14ac:dyDescent="0.25">
      <c r="A18" s="234" t="s">
        <v>442</v>
      </c>
      <c r="C18" s="221">
        <f>'GASB 68 Sch Input CY'!B38</f>
        <v>407182995</v>
      </c>
      <c r="D18" s="220">
        <f>'GASB 68 Sch Input PY '!B38</f>
        <v>412124000</v>
      </c>
      <c r="E18" s="220">
        <v>387685000</v>
      </c>
      <c r="F18" s="220">
        <v>454721000</v>
      </c>
      <c r="G18" s="220">
        <v>488511000</v>
      </c>
      <c r="H18" s="220">
        <v>0</v>
      </c>
      <c r="I18" s="222">
        <v>0</v>
      </c>
      <c r="L18" s="219">
        <f>L7-1</f>
        <v>2022</v>
      </c>
      <c r="M18" s="220" t="e">
        <f>D26</f>
        <v>#REF!</v>
      </c>
      <c r="N18" s="220" t="e">
        <f>ROUND(IF(M18=0,0,M18/D22),0)</f>
        <v>#REF!</v>
      </c>
      <c r="O18" s="220" t="e">
        <f t="shared" ref="O18:O24" si="5">M18-N18</f>
        <v>#REF!</v>
      </c>
      <c r="Q18" s="221" t="e">
        <f t="shared" ref="Q18:Q24" si="6">IF(O18&gt;0,O18,0)</f>
        <v>#REF!</v>
      </c>
      <c r="R18" s="222" t="e">
        <f>IF(O18&lt;0,O18,0)</f>
        <v>#REF!</v>
      </c>
    </row>
    <row r="19" spans="1:18" ht="15.75" x14ac:dyDescent="0.25">
      <c r="A19" s="234" t="s">
        <v>443</v>
      </c>
      <c r="C19" s="221">
        <f>'GASB 68 Sch Input CY'!B21</f>
        <v>2289406000</v>
      </c>
      <c r="D19" s="220">
        <f>'GASB 68 Sch Input PY '!B21</f>
        <v>2572065000</v>
      </c>
      <c r="E19" s="220">
        <v>4109834000</v>
      </c>
      <c r="F19" s="220">
        <v>3465254000</v>
      </c>
      <c r="G19" s="220">
        <v>3450093000</v>
      </c>
      <c r="H19" s="220">
        <v>4179234000</v>
      </c>
      <c r="I19" s="222">
        <v>0</v>
      </c>
      <c r="L19" s="219">
        <f t="shared" ref="L19:L24" si="7">L18+1</f>
        <v>2023</v>
      </c>
      <c r="M19" s="220" t="e">
        <f t="shared" ref="M19:M24" si="8">O18</f>
        <v>#REF!</v>
      </c>
      <c r="N19" s="220" t="e">
        <f>IF($D$22&lt;=2,O18,N18)</f>
        <v>#REF!</v>
      </c>
      <c r="O19" s="220" t="e">
        <f t="shared" si="5"/>
        <v>#REF!</v>
      </c>
      <c r="Q19" s="221" t="e">
        <f t="shared" si="6"/>
        <v>#REF!</v>
      </c>
      <c r="R19" s="222" t="e">
        <f t="shared" ref="R19:R24" si="9">IF(O19&lt;0,O19,0)</f>
        <v>#REF!</v>
      </c>
    </row>
    <row r="20" spans="1:18" ht="15.75" x14ac:dyDescent="0.25">
      <c r="A20" s="234" t="s">
        <v>444</v>
      </c>
      <c r="C20" s="221">
        <f>-'GASB 68 Sch Input CY'!P21</f>
        <v>-309193968</v>
      </c>
      <c r="D20" s="220">
        <f>-'GASB 68 Sch Input PY '!N21</f>
        <v>-462599067</v>
      </c>
      <c r="E20" s="220">
        <v>-776074005</v>
      </c>
      <c r="F20" s="220">
        <v>-346973746</v>
      </c>
      <c r="G20" s="220">
        <v>-121646999</v>
      </c>
      <c r="H20" s="220">
        <v>0</v>
      </c>
      <c r="I20" s="222">
        <v>0</v>
      </c>
      <c r="L20" s="219">
        <f t="shared" si="7"/>
        <v>2024</v>
      </c>
      <c r="M20" s="220" t="e">
        <f t="shared" si="8"/>
        <v>#REF!</v>
      </c>
      <c r="N20" s="220" t="e">
        <f>IF($D$22&lt;=3,O19,N19)</f>
        <v>#REF!</v>
      </c>
      <c r="O20" s="220" t="e">
        <f t="shared" si="5"/>
        <v>#REF!</v>
      </c>
      <c r="Q20" s="221" t="e">
        <f t="shared" si="6"/>
        <v>#REF!</v>
      </c>
      <c r="R20" s="222" t="e">
        <f t="shared" si="9"/>
        <v>#REF!</v>
      </c>
    </row>
    <row r="21" spans="1:18" ht="15.75" x14ac:dyDescent="0.25">
      <c r="A21" s="234" t="s">
        <v>445</v>
      </c>
      <c r="C21" s="221">
        <f>'GASB 68 Sch Input CY'!Z21</f>
        <v>94430968</v>
      </c>
      <c r="D21" s="220">
        <f>'GASB 68 Sch Input PY '!X21</f>
        <v>127130067</v>
      </c>
      <c r="E21" s="220">
        <v>261668005</v>
      </c>
      <c r="F21" s="220">
        <v>523232746</v>
      </c>
      <c r="G21" s="220">
        <v>577682199</v>
      </c>
      <c r="H21" s="220">
        <v>0</v>
      </c>
      <c r="I21" s="222">
        <v>0</v>
      </c>
      <c r="L21" s="219">
        <f t="shared" si="7"/>
        <v>2025</v>
      </c>
      <c r="M21" s="220" t="e">
        <f t="shared" si="8"/>
        <v>#REF!</v>
      </c>
      <c r="N21" s="220" t="e">
        <f>IF($D$22&lt;=4,O20,N20)</f>
        <v>#REF!</v>
      </c>
      <c r="O21" s="220" t="e">
        <f t="shared" si="5"/>
        <v>#REF!</v>
      </c>
      <c r="Q21" s="221" t="e">
        <f t="shared" si="6"/>
        <v>#REF!</v>
      </c>
      <c r="R21" s="222" t="e">
        <f t="shared" si="9"/>
        <v>#REF!</v>
      </c>
    </row>
    <row r="22" spans="1:18" x14ac:dyDescent="0.2">
      <c r="A22" s="105" t="s">
        <v>208</v>
      </c>
      <c r="C22" s="237">
        <f>'GASB 68 Sch Input CY'!F48</f>
        <v>5.04</v>
      </c>
      <c r="D22" s="339">
        <v>5.96</v>
      </c>
      <c r="E22" s="339">
        <v>5.96</v>
      </c>
      <c r="F22" s="339">
        <v>6</v>
      </c>
      <c r="G22" s="339">
        <v>5.91</v>
      </c>
      <c r="H22" s="339">
        <v>0</v>
      </c>
      <c r="I22" s="249">
        <v>0</v>
      </c>
      <c r="L22" s="219">
        <f t="shared" si="7"/>
        <v>2026</v>
      </c>
      <c r="M22" s="220" t="e">
        <f t="shared" si="8"/>
        <v>#REF!</v>
      </c>
      <c r="N22" s="220" t="e">
        <f>IF($D$22&lt;=5,O21,N21)</f>
        <v>#REF!</v>
      </c>
      <c r="O22" s="220" t="e">
        <f t="shared" si="5"/>
        <v>#REF!</v>
      </c>
      <c r="Q22" s="221" t="e">
        <f t="shared" si="6"/>
        <v>#REF!</v>
      </c>
      <c r="R22" s="222" t="e">
        <f t="shared" si="9"/>
        <v>#REF!</v>
      </c>
    </row>
    <row r="23" spans="1:18" x14ac:dyDescent="0.2">
      <c r="A23" s="105" t="s">
        <v>359</v>
      </c>
      <c r="C23" s="221" t="e">
        <f>ROUND((C17-D17)*D20,8)</f>
        <v>#REF!</v>
      </c>
      <c r="D23" s="238" t="e">
        <f>ROUND((D17-E17)*E20,8)</f>
        <v>#REF!</v>
      </c>
      <c r="E23" s="238">
        <f>ROUND((E17-F17)*F20,8)</f>
        <v>0</v>
      </c>
      <c r="F23" s="238">
        <f>ROUND((F17-G17)*G20,8)</f>
        <v>0</v>
      </c>
      <c r="G23" s="220">
        <v>0</v>
      </c>
      <c r="H23" s="220">
        <v>0</v>
      </c>
      <c r="I23" s="222">
        <v>0</v>
      </c>
      <c r="L23" s="219">
        <f>L22+1</f>
        <v>2027</v>
      </c>
      <c r="M23" s="220" t="e">
        <f>O22</f>
        <v>#REF!</v>
      </c>
      <c r="N23" s="220" t="e">
        <f>IF($D$22&lt;=6,O22,N22)</f>
        <v>#REF!</v>
      </c>
      <c r="O23" s="220" t="e">
        <f t="shared" si="5"/>
        <v>#REF!</v>
      </c>
      <c r="Q23" s="221" t="e">
        <f t="shared" si="6"/>
        <v>#REF!</v>
      </c>
      <c r="R23" s="222" t="e">
        <f t="shared" si="9"/>
        <v>#REF!</v>
      </c>
    </row>
    <row r="24" spans="1:18" ht="15.75" thickBot="1" x14ac:dyDescent="0.25">
      <c r="A24" s="105" t="s">
        <v>360</v>
      </c>
      <c r="C24" s="221" t="e">
        <f>ROUND((C17-D17)*D21,8)</f>
        <v>#REF!</v>
      </c>
      <c r="D24" s="238" t="e">
        <f>ROUND((D17-E17)*E21,8)</f>
        <v>#REF!</v>
      </c>
      <c r="E24" s="238">
        <f>ROUND((E17-F17)*F21,8)</f>
        <v>0</v>
      </c>
      <c r="F24" s="238">
        <f>ROUND((F17-G17)*G21,8)</f>
        <v>0</v>
      </c>
      <c r="G24" s="220">
        <v>0</v>
      </c>
      <c r="H24" s="220">
        <v>0</v>
      </c>
      <c r="I24" s="222">
        <v>0</v>
      </c>
      <c r="L24" s="223">
        <f t="shared" si="7"/>
        <v>2028</v>
      </c>
      <c r="M24" s="224" t="e">
        <f t="shared" si="8"/>
        <v>#REF!</v>
      </c>
      <c r="N24" s="224" t="e">
        <f>IF($D$22&lt;=7,O23,N23)</f>
        <v>#REF!</v>
      </c>
      <c r="O24" s="224" t="e">
        <f t="shared" si="5"/>
        <v>#REF!</v>
      </c>
      <c r="P24" s="98"/>
      <c r="Q24" s="225" t="e">
        <f t="shared" si="6"/>
        <v>#REF!</v>
      </c>
      <c r="R24" s="226" t="e">
        <f t="shared" si="9"/>
        <v>#REF!</v>
      </c>
    </row>
    <row r="25" spans="1:18" ht="15.75" customHeight="1" thickBot="1" x14ac:dyDescent="0.25">
      <c r="A25" s="239" t="s">
        <v>358</v>
      </c>
      <c r="C25" s="221" t="e">
        <f t="shared" ref="C25:H25" si="10">ROUND((C17-D17)*D19,8)</f>
        <v>#REF!</v>
      </c>
      <c r="D25" s="220" t="e">
        <f t="shared" si="10"/>
        <v>#REF!</v>
      </c>
      <c r="E25" s="220">
        <f t="shared" si="10"/>
        <v>0</v>
      </c>
      <c r="F25" s="220">
        <f t="shared" si="10"/>
        <v>0</v>
      </c>
      <c r="G25" s="220">
        <f t="shared" si="10"/>
        <v>0</v>
      </c>
      <c r="H25" s="220">
        <f t="shared" si="10"/>
        <v>0</v>
      </c>
      <c r="I25" s="222">
        <f>ROUND((I17-J17)*J18,8)</f>
        <v>0</v>
      </c>
    </row>
    <row r="26" spans="1:18" ht="15" customHeight="1" thickBot="1" x14ac:dyDescent="0.25">
      <c r="A26" s="239" t="s">
        <v>365</v>
      </c>
      <c r="C26" s="240" t="e">
        <f t="shared" ref="C26:I26" si="11">SUM(C23:C25)</f>
        <v>#REF!</v>
      </c>
      <c r="D26" s="241" t="e">
        <f t="shared" si="11"/>
        <v>#REF!</v>
      </c>
      <c r="E26" s="241">
        <f t="shared" si="11"/>
        <v>0</v>
      </c>
      <c r="F26" s="241">
        <f t="shared" si="11"/>
        <v>0</v>
      </c>
      <c r="G26" s="241">
        <f t="shared" si="11"/>
        <v>0</v>
      </c>
      <c r="H26" s="241">
        <f t="shared" si="11"/>
        <v>0</v>
      </c>
      <c r="I26" s="242">
        <f t="shared" si="11"/>
        <v>0</v>
      </c>
      <c r="L26" s="157" t="s">
        <v>216</v>
      </c>
      <c r="M26" s="158"/>
      <c r="N26" s="158"/>
      <c r="O26" s="158"/>
      <c r="P26" s="158"/>
      <c r="Q26" s="214"/>
      <c r="R26" s="159"/>
    </row>
    <row r="27" spans="1:18" ht="15.75" customHeight="1" thickTop="1" thickBot="1" x14ac:dyDescent="0.3">
      <c r="A27" s="205"/>
      <c r="B27" s="98"/>
      <c r="C27" s="205"/>
      <c r="D27" s="98"/>
      <c r="E27" s="98"/>
      <c r="F27" s="98"/>
      <c r="G27" s="98"/>
      <c r="H27" s="98"/>
      <c r="I27" s="161"/>
      <c r="L27" s="176"/>
      <c r="Q27" s="215" t="s">
        <v>138</v>
      </c>
      <c r="R27" s="216" t="s">
        <v>138</v>
      </c>
    </row>
    <row r="28" spans="1:18" ht="16.5" thickBot="1" x14ac:dyDescent="0.3">
      <c r="L28" s="217" t="s">
        <v>214</v>
      </c>
      <c r="M28" s="218" t="s">
        <v>210</v>
      </c>
      <c r="N28" s="218" t="s">
        <v>211</v>
      </c>
      <c r="O28" s="218" t="s">
        <v>212</v>
      </c>
      <c r="Q28" s="215" t="s">
        <v>237</v>
      </c>
      <c r="R28" s="216" t="s">
        <v>238</v>
      </c>
    </row>
    <row r="29" spans="1:18" ht="15.75" x14ac:dyDescent="0.25">
      <c r="A29" s="243" t="s">
        <v>221</v>
      </c>
      <c r="B29" s="158"/>
      <c r="C29" s="158"/>
      <c r="D29" s="159"/>
      <c r="L29" s="219">
        <f>L18-1</f>
        <v>2021</v>
      </c>
      <c r="M29" s="220">
        <f>E26</f>
        <v>0</v>
      </c>
      <c r="N29" s="220">
        <f>ROUND(IF(M29=0,0,M29/E22),0)</f>
        <v>0</v>
      </c>
      <c r="O29" s="220">
        <f t="shared" ref="O29:O35" si="12">M29-N29</f>
        <v>0</v>
      </c>
      <c r="Q29" s="221">
        <f t="shared" ref="Q29:Q35" si="13">IF(O29&gt;0,O29,0)</f>
        <v>0</v>
      </c>
      <c r="R29" s="222">
        <f>IF(O29&lt;0,O29,0)</f>
        <v>0</v>
      </c>
    </row>
    <row r="30" spans="1:18" x14ac:dyDescent="0.2">
      <c r="A30" s="244" t="s">
        <v>195</v>
      </c>
      <c r="B30" s="245"/>
      <c r="C30" s="246" t="s">
        <v>7</v>
      </c>
      <c r="D30" s="247"/>
      <c r="E30" s="246"/>
      <c r="F30" s="246"/>
      <c r="L30" s="219">
        <f t="shared" ref="L30:L35" si="14">L29+1</f>
        <v>2022</v>
      </c>
      <c r="M30" s="220">
        <f t="shared" ref="M30:M35" si="15">O29</f>
        <v>0</v>
      </c>
      <c r="N30" s="220">
        <f>IF($E$22&lt;=2,O29,N29)</f>
        <v>0</v>
      </c>
      <c r="O30" s="220">
        <f t="shared" si="12"/>
        <v>0</v>
      </c>
      <c r="Q30" s="221">
        <f t="shared" si="13"/>
        <v>0</v>
      </c>
      <c r="R30" s="222">
        <f t="shared" ref="R30:R35" si="16">IF(O30&lt;0,O30,0)</f>
        <v>0</v>
      </c>
    </row>
    <row r="31" spans="1:18" x14ac:dyDescent="0.2">
      <c r="A31" s="248">
        <f>C14</f>
        <v>2023</v>
      </c>
      <c r="B31" s="245"/>
      <c r="C31" s="220" t="e">
        <f>N7</f>
        <v>#REF!</v>
      </c>
      <c r="D31" s="222"/>
      <c r="E31" s="220"/>
      <c r="L31" s="219">
        <f t="shared" si="14"/>
        <v>2023</v>
      </c>
      <c r="M31" s="220">
        <f t="shared" si="15"/>
        <v>0</v>
      </c>
      <c r="N31" s="220">
        <f>IF($E$22&lt;=3,O30,N30)</f>
        <v>0</v>
      </c>
      <c r="O31" s="220">
        <f t="shared" si="12"/>
        <v>0</v>
      </c>
      <c r="Q31" s="221">
        <f t="shared" si="13"/>
        <v>0</v>
      </c>
      <c r="R31" s="222">
        <f t="shared" si="16"/>
        <v>0</v>
      </c>
    </row>
    <row r="32" spans="1:18" x14ac:dyDescent="0.2">
      <c r="A32" s="248">
        <f>D14</f>
        <v>2022</v>
      </c>
      <c r="B32" s="245"/>
      <c r="C32" s="220" t="e">
        <f>N19</f>
        <v>#REF!</v>
      </c>
      <c r="D32" s="222"/>
      <c r="E32" s="220"/>
      <c r="L32" s="219">
        <f t="shared" si="14"/>
        <v>2024</v>
      </c>
      <c r="M32" s="220">
        <f t="shared" si="15"/>
        <v>0</v>
      </c>
      <c r="N32" s="220">
        <f>IF($E$22&lt;=4,O31,N31)</f>
        <v>0</v>
      </c>
      <c r="O32" s="220">
        <f t="shared" si="12"/>
        <v>0</v>
      </c>
      <c r="Q32" s="221">
        <f t="shared" si="13"/>
        <v>0</v>
      </c>
      <c r="R32" s="222">
        <f t="shared" si="16"/>
        <v>0</v>
      </c>
    </row>
    <row r="33" spans="1:18" x14ac:dyDescent="0.2">
      <c r="A33" s="248">
        <f>E14</f>
        <v>2021</v>
      </c>
      <c r="B33" s="245"/>
      <c r="C33" s="220">
        <f>N31</f>
        <v>0</v>
      </c>
      <c r="D33" s="249"/>
      <c r="E33" s="220"/>
      <c r="L33" s="219">
        <f t="shared" si="14"/>
        <v>2025</v>
      </c>
      <c r="M33" s="220">
        <f t="shared" si="15"/>
        <v>0</v>
      </c>
      <c r="N33" s="220">
        <f>IF($E$22&lt;=5,O32,N32)</f>
        <v>0</v>
      </c>
      <c r="O33" s="220">
        <f t="shared" si="12"/>
        <v>0</v>
      </c>
      <c r="Q33" s="221">
        <f t="shared" si="13"/>
        <v>0</v>
      </c>
      <c r="R33" s="222">
        <f t="shared" si="16"/>
        <v>0</v>
      </c>
    </row>
    <row r="34" spans="1:18" ht="15.75" x14ac:dyDescent="0.25">
      <c r="A34" s="248">
        <f>F14</f>
        <v>2020</v>
      </c>
      <c r="B34" s="245"/>
      <c r="C34" s="220">
        <f>N43</f>
        <v>0</v>
      </c>
      <c r="D34" s="249"/>
      <c r="E34" s="220"/>
      <c r="G34" s="22"/>
      <c r="H34" s="22"/>
      <c r="I34" s="22"/>
      <c r="L34" s="219">
        <f t="shared" si="14"/>
        <v>2026</v>
      </c>
      <c r="M34" s="220">
        <f t="shared" si="15"/>
        <v>0</v>
      </c>
      <c r="N34" s="220">
        <f>IF($E$22&lt;=6,O33,N33)</f>
        <v>0</v>
      </c>
      <c r="O34" s="220">
        <f t="shared" si="12"/>
        <v>0</v>
      </c>
      <c r="Q34" s="221">
        <f t="shared" si="13"/>
        <v>0</v>
      </c>
      <c r="R34" s="222">
        <f t="shared" si="16"/>
        <v>0</v>
      </c>
    </row>
    <row r="35" spans="1:18" ht="16.5" thickBot="1" x14ac:dyDescent="0.3">
      <c r="A35" s="248">
        <f>G14</f>
        <v>2019</v>
      </c>
      <c r="B35" s="245"/>
      <c r="C35" s="220">
        <f>N55</f>
        <v>0</v>
      </c>
      <c r="D35" s="249"/>
      <c r="E35" s="220"/>
      <c r="G35" s="34"/>
      <c r="H35" s="34"/>
      <c r="I35" s="34"/>
      <c r="L35" s="223">
        <f t="shared" si="14"/>
        <v>2027</v>
      </c>
      <c r="M35" s="224">
        <f t="shared" si="15"/>
        <v>0</v>
      </c>
      <c r="N35" s="224">
        <f>IF($E$22&lt;=7,O34,N34)</f>
        <v>0</v>
      </c>
      <c r="O35" s="224">
        <f t="shared" si="12"/>
        <v>0</v>
      </c>
      <c r="P35" s="98"/>
      <c r="Q35" s="225">
        <f t="shared" si="13"/>
        <v>0</v>
      </c>
      <c r="R35" s="226">
        <f t="shared" si="16"/>
        <v>0</v>
      </c>
    </row>
    <row r="36" spans="1:18" ht="15.75" thickBot="1" x14ac:dyDescent="0.25">
      <c r="A36" s="248">
        <f>H14</f>
        <v>2018</v>
      </c>
      <c r="B36" s="245"/>
      <c r="C36" s="220">
        <f>N67</f>
        <v>0</v>
      </c>
      <c r="D36" s="249"/>
      <c r="E36" s="220"/>
      <c r="G36" s="9"/>
      <c r="H36" s="9"/>
      <c r="I36" s="9"/>
    </row>
    <row r="37" spans="1:18" x14ac:dyDescent="0.2">
      <c r="A37" s="248">
        <v>2009</v>
      </c>
      <c r="B37" s="245"/>
      <c r="C37" s="220">
        <f>N79</f>
        <v>0</v>
      </c>
      <c r="D37" s="249"/>
      <c r="E37" s="220"/>
      <c r="L37" s="157" t="s">
        <v>217</v>
      </c>
      <c r="M37" s="158"/>
      <c r="N37" s="158"/>
      <c r="O37" s="158"/>
      <c r="P37" s="158"/>
      <c r="Q37" s="214"/>
      <c r="R37" s="159"/>
    </row>
    <row r="38" spans="1:18" ht="16.5" thickBot="1" x14ac:dyDescent="0.3">
      <c r="A38" s="259" t="s">
        <v>222</v>
      </c>
      <c r="B38" s="245"/>
      <c r="C38" s="241" t="e">
        <f>SUM(C31:C37)</f>
        <v>#REF!</v>
      </c>
      <c r="D38" s="222"/>
      <c r="E38" s="220"/>
      <c r="L38" s="176"/>
      <c r="Q38" s="215" t="s">
        <v>138</v>
      </c>
      <c r="R38" s="216" t="s">
        <v>138</v>
      </c>
    </row>
    <row r="39" spans="1:18" ht="16.5" thickTop="1" x14ac:dyDescent="0.25">
      <c r="A39" s="259"/>
      <c r="B39" s="245"/>
      <c r="C39" s="220"/>
      <c r="D39" s="251"/>
      <c r="L39" s="217" t="s">
        <v>214</v>
      </c>
      <c r="M39" s="218" t="s">
        <v>210</v>
      </c>
      <c r="N39" s="218" t="s">
        <v>211</v>
      </c>
      <c r="O39" s="218" t="s">
        <v>212</v>
      </c>
      <c r="Q39" s="215" t="s">
        <v>237</v>
      </c>
      <c r="R39" s="216" t="s">
        <v>238</v>
      </c>
    </row>
    <row r="40" spans="1:18" ht="15.75" thickBot="1" x14ac:dyDescent="0.25">
      <c r="A40" s="252"/>
      <c r="B40" s="98"/>
      <c r="C40" s="98"/>
      <c r="D40" s="253"/>
      <c r="F40" s="220"/>
      <c r="G40" s="260"/>
      <c r="L40" s="219">
        <f>L29-1</f>
        <v>2020</v>
      </c>
      <c r="M40" s="220">
        <f>F26</f>
        <v>0</v>
      </c>
      <c r="N40" s="220">
        <f>ROUND(IF(M40=0,0,M40/F22),0)</f>
        <v>0</v>
      </c>
      <c r="O40" s="220">
        <f t="shared" ref="O40:O46" si="17">M40-N40</f>
        <v>0</v>
      </c>
      <c r="Q40" s="221">
        <f t="shared" ref="Q40:Q46" si="18">IF(O40&gt;0,O40,0)</f>
        <v>0</v>
      </c>
      <c r="R40" s="222">
        <f>IF(O40&lt;0,O40,0)</f>
        <v>0</v>
      </c>
    </row>
    <row r="41" spans="1:18" x14ac:dyDescent="0.2">
      <c r="L41" s="219">
        <f t="shared" ref="L41:L46" si="19">L40+1</f>
        <v>2021</v>
      </c>
      <c r="M41" s="220">
        <f t="shared" ref="M41:M46" si="20">O40</f>
        <v>0</v>
      </c>
      <c r="N41" s="220">
        <f>IF($F$22&lt;=2,O40,N40)</f>
        <v>0</v>
      </c>
      <c r="O41" s="220">
        <f t="shared" si="17"/>
        <v>0</v>
      </c>
      <c r="Q41" s="221">
        <f t="shared" si="18"/>
        <v>0</v>
      </c>
      <c r="R41" s="222">
        <f t="shared" ref="R41:R46" si="21">IF(O41&lt;0,O41,0)</f>
        <v>0</v>
      </c>
    </row>
    <row r="42" spans="1:18" ht="15.75" thickBot="1" x14ac:dyDescent="0.25">
      <c r="L42" s="219">
        <f t="shared" si="19"/>
        <v>2022</v>
      </c>
      <c r="M42" s="220">
        <f t="shared" si="20"/>
        <v>0</v>
      </c>
      <c r="N42" s="220">
        <f>IF($F$22&lt;=3,O41,N41)</f>
        <v>0</v>
      </c>
      <c r="O42" s="220">
        <f t="shared" si="17"/>
        <v>0</v>
      </c>
      <c r="Q42" s="221">
        <f t="shared" si="18"/>
        <v>0</v>
      </c>
      <c r="R42" s="222">
        <f t="shared" si="21"/>
        <v>0</v>
      </c>
    </row>
    <row r="43" spans="1:18" ht="15.75" x14ac:dyDescent="0.25">
      <c r="A43" s="243" t="s">
        <v>223</v>
      </c>
      <c r="B43" s="158"/>
      <c r="C43" s="158"/>
      <c r="D43" s="158"/>
      <c r="E43" s="159"/>
      <c r="L43" s="219">
        <f t="shared" si="19"/>
        <v>2023</v>
      </c>
      <c r="M43" s="220">
        <f t="shared" si="20"/>
        <v>0</v>
      </c>
      <c r="N43" s="220">
        <f>IF($F$22&lt;=4,O42,N42)</f>
        <v>0</v>
      </c>
      <c r="O43" s="220">
        <f t="shared" si="17"/>
        <v>0</v>
      </c>
      <c r="Q43" s="221">
        <f t="shared" si="18"/>
        <v>0</v>
      </c>
      <c r="R43" s="222">
        <f t="shared" si="21"/>
        <v>0</v>
      </c>
    </row>
    <row r="44" spans="1:18" x14ac:dyDescent="0.2">
      <c r="A44" s="244"/>
      <c r="B44" s="245"/>
      <c r="C44" s="245"/>
      <c r="D44" s="245"/>
      <c r="E44" s="160"/>
      <c r="L44" s="219">
        <f t="shared" si="19"/>
        <v>2024</v>
      </c>
      <c r="M44" s="220">
        <f t="shared" si="20"/>
        <v>0</v>
      </c>
      <c r="N44" s="220">
        <f>IF($F$22&lt;=5,O43,N43)</f>
        <v>0</v>
      </c>
      <c r="O44" s="220">
        <f t="shared" si="17"/>
        <v>0</v>
      </c>
      <c r="Q44" s="221">
        <f t="shared" si="18"/>
        <v>0</v>
      </c>
      <c r="R44" s="222">
        <f t="shared" si="21"/>
        <v>0</v>
      </c>
    </row>
    <row r="45" spans="1:18" x14ac:dyDescent="0.2">
      <c r="A45" s="244"/>
      <c r="B45" s="245"/>
      <c r="C45" s="489" t="s">
        <v>224</v>
      </c>
      <c r="D45" s="489" t="s">
        <v>225</v>
      </c>
      <c r="E45" s="490" t="s">
        <v>398</v>
      </c>
      <c r="L45" s="219">
        <f t="shared" si="19"/>
        <v>2025</v>
      </c>
      <c r="M45" s="220">
        <f t="shared" si="20"/>
        <v>0</v>
      </c>
      <c r="N45" s="220">
        <f>IF($F$22&lt;=6,O44,N44)</f>
        <v>0</v>
      </c>
      <c r="O45" s="220">
        <f t="shared" si="17"/>
        <v>0</v>
      </c>
      <c r="Q45" s="221">
        <f t="shared" si="18"/>
        <v>0</v>
      </c>
      <c r="R45" s="222">
        <f t="shared" si="21"/>
        <v>0</v>
      </c>
    </row>
    <row r="46" spans="1:18" ht="15.75" thickBot="1" x14ac:dyDescent="0.25">
      <c r="A46" s="244" t="s">
        <v>227</v>
      </c>
      <c r="B46" s="245"/>
      <c r="C46" s="489"/>
      <c r="D46" s="489"/>
      <c r="E46" s="490"/>
      <c r="L46" s="223">
        <f t="shared" si="19"/>
        <v>2026</v>
      </c>
      <c r="M46" s="224">
        <f t="shared" si="20"/>
        <v>0</v>
      </c>
      <c r="N46" s="224">
        <f>IF($F$22&lt;=7,O45,N45)</f>
        <v>0</v>
      </c>
      <c r="O46" s="224">
        <f t="shared" si="17"/>
        <v>0</v>
      </c>
      <c r="P46" s="98"/>
      <c r="Q46" s="225">
        <f t="shared" si="18"/>
        <v>0</v>
      </c>
      <c r="R46" s="226">
        <f t="shared" si="21"/>
        <v>0</v>
      </c>
    </row>
    <row r="47" spans="1:18" ht="15.75" thickBot="1" x14ac:dyDescent="0.25">
      <c r="A47" s="248">
        <f>C14</f>
        <v>2023</v>
      </c>
      <c r="B47" s="245"/>
      <c r="C47" s="162" t="e">
        <f>ROUND(Q7,0)</f>
        <v>#REF!</v>
      </c>
      <c r="D47" s="162" t="e">
        <f>ROUND(R7,0)</f>
        <v>#REF!</v>
      </c>
      <c r="E47" s="222" t="e">
        <f>SUM(C47:D47)</f>
        <v>#REF!</v>
      </c>
    </row>
    <row r="48" spans="1:18" x14ac:dyDescent="0.2">
      <c r="A48" s="248">
        <f>D14</f>
        <v>2022</v>
      </c>
      <c r="B48" s="245"/>
      <c r="C48" s="162" t="e">
        <f>ROUND(Q19,0)</f>
        <v>#REF!</v>
      </c>
      <c r="D48" s="162" t="e">
        <f>ROUND(R19,0)</f>
        <v>#REF!</v>
      </c>
      <c r="E48" s="222" t="e">
        <f t="shared" ref="E48:E53" si="22">SUM(C48:D48)</f>
        <v>#REF!</v>
      </c>
      <c r="L48" s="157" t="s">
        <v>218</v>
      </c>
      <c r="M48" s="158"/>
      <c r="N48" s="158"/>
      <c r="O48" s="158"/>
      <c r="P48" s="158"/>
      <c r="Q48" s="214"/>
      <c r="R48" s="159"/>
    </row>
    <row r="49" spans="1:18" ht="15.75" x14ac:dyDescent="0.25">
      <c r="A49" s="248">
        <f>E14</f>
        <v>2021</v>
      </c>
      <c r="B49" s="245"/>
      <c r="C49" s="162">
        <f>ROUND(Q31,0)</f>
        <v>0</v>
      </c>
      <c r="D49" s="162">
        <f>ROUND(R31,0)</f>
        <v>0</v>
      </c>
      <c r="E49" s="222">
        <f t="shared" si="22"/>
        <v>0</v>
      </c>
      <c r="L49" s="176"/>
      <c r="Q49" s="215" t="s">
        <v>138</v>
      </c>
      <c r="R49" s="216" t="s">
        <v>138</v>
      </c>
    </row>
    <row r="50" spans="1:18" ht="15.75" x14ac:dyDescent="0.25">
      <c r="A50" s="248">
        <f>F14</f>
        <v>2020</v>
      </c>
      <c r="B50" s="245"/>
      <c r="C50" s="162">
        <f>ROUND(Q43,0)</f>
        <v>0</v>
      </c>
      <c r="D50" s="162">
        <f>ROUND(R43,0)</f>
        <v>0</v>
      </c>
      <c r="E50" s="222">
        <f t="shared" si="22"/>
        <v>0</v>
      </c>
      <c r="L50" s="217" t="s">
        <v>214</v>
      </c>
      <c r="M50" s="218" t="s">
        <v>210</v>
      </c>
      <c r="N50" s="218" t="s">
        <v>211</v>
      </c>
      <c r="O50" s="218" t="s">
        <v>212</v>
      </c>
      <c r="Q50" s="215" t="s">
        <v>237</v>
      </c>
      <c r="R50" s="216" t="s">
        <v>238</v>
      </c>
    </row>
    <row r="51" spans="1:18" x14ac:dyDescent="0.2">
      <c r="A51" s="248">
        <f>G14</f>
        <v>2019</v>
      </c>
      <c r="B51" s="245"/>
      <c r="C51" s="162">
        <f>ROUND(Q55,0)</f>
        <v>0</v>
      </c>
      <c r="D51" s="162">
        <f>ROUND(R55,0)</f>
        <v>0</v>
      </c>
      <c r="E51" s="222">
        <f t="shared" si="22"/>
        <v>0</v>
      </c>
      <c r="L51" s="219">
        <f>L40-1</f>
        <v>2019</v>
      </c>
      <c r="M51" s="220">
        <f>G26</f>
        <v>0</v>
      </c>
      <c r="N51" s="220">
        <f>ROUND(IF(M51=0,0,M51/G22),0)</f>
        <v>0</v>
      </c>
      <c r="O51" s="220">
        <f t="shared" ref="O51:O57" si="23">M51-N51</f>
        <v>0</v>
      </c>
      <c r="Q51" s="221">
        <f t="shared" ref="Q51:Q57" si="24">IF(O51&gt;0,O51,0)</f>
        <v>0</v>
      </c>
      <c r="R51" s="222">
        <f>IF(O51&lt;0,O51,0)</f>
        <v>0</v>
      </c>
    </row>
    <row r="52" spans="1:18" x14ac:dyDescent="0.2">
      <c r="A52" s="248">
        <f>H14</f>
        <v>2018</v>
      </c>
      <c r="B52" s="245"/>
      <c r="C52" s="162">
        <f>ROUND(Q67,0)</f>
        <v>0</v>
      </c>
      <c r="D52" s="162">
        <f>ROUND(R67,0)</f>
        <v>0</v>
      </c>
      <c r="E52" s="222">
        <f t="shared" si="22"/>
        <v>0</v>
      </c>
      <c r="L52" s="219">
        <f t="shared" ref="L52:L57" si="25">L51+1</f>
        <v>2020</v>
      </c>
      <c r="M52" s="220">
        <f t="shared" ref="M52:M57" si="26">O51</f>
        <v>0</v>
      </c>
      <c r="N52" s="220">
        <f>IF($G$22&lt;=2,O51,N51)</f>
        <v>0</v>
      </c>
      <c r="O52" s="220">
        <f t="shared" si="23"/>
        <v>0</v>
      </c>
      <c r="Q52" s="221">
        <f t="shared" si="24"/>
        <v>0</v>
      </c>
      <c r="R52" s="222">
        <f t="shared" ref="R52:R57" si="27">IF(O52&lt;0,O52,0)</f>
        <v>0</v>
      </c>
    </row>
    <row r="53" spans="1:18" x14ac:dyDescent="0.2">
      <c r="A53" s="248">
        <f>I14</f>
        <v>2017</v>
      </c>
      <c r="C53" s="220">
        <f>ROUND(Q79,0)</f>
        <v>0</v>
      </c>
      <c r="D53" s="220">
        <f>ROUND(R79,0)</f>
        <v>0</v>
      </c>
      <c r="E53" s="222">
        <f t="shared" si="22"/>
        <v>0</v>
      </c>
      <c r="L53" s="219">
        <f t="shared" si="25"/>
        <v>2021</v>
      </c>
      <c r="M53" s="220">
        <f t="shared" si="26"/>
        <v>0</v>
      </c>
      <c r="N53" s="220">
        <f>IF($G$22&lt;=3,O52,N52)</f>
        <v>0</v>
      </c>
      <c r="O53" s="220">
        <f t="shared" si="23"/>
        <v>0</v>
      </c>
      <c r="Q53" s="221">
        <f t="shared" si="24"/>
        <v>0</v>
      </c>
      <c r="R53" s="222">
        <f t="shared" si="27"/>
        <v>0</v>
      </c>
    </row>
    <row r="54" spans="1:18" ht="15.75" thickBot="1" x14ac:dyDescent="0.25">
      <c r="A54" s="250" t="s">
        <v>226</v>
      </c>
      <c r="B54" s="245"/>
      <c r="C54" s="241" t="e">
        <f>SUM(C47:C52)</f>
        <v>#REF!</v>
      </c>
      <c r="D54" s="241" t="e">
        <f>SUM(D47:D52)</f>
        <v>#REF!</v>
      </c>
      <c r="E54" s="242" t="e">
        <f>SUM(E47:E53)</f>
        <v>#REF!</v>
      </c>
      <c r="L54" s="219">
        <f t="shared" si="25"/>
        <v>2022</v>
      </c>
      <c r="M54" s="220">
        <f t="shared" si="26"/>
        <v>0</v>
      </c>
      <c r="N54" s="220">
        <f>IF($G$22&lt;=4,O53,N53)</f>
        <v>0</v>
      </c>
      <c r="O54" s="220">
        <f t="shared" si="23"/>
        <v>0</v>
      </c>
      <c r="Q54" s="221">
        <f t="shared" si="24"/>
        <v>0</v>
      </c>
      <c r="R54" s="222">
        <f t="shared" si="27"/>
        <v>0</v>
      </c>
    </row>
    <row r="55" spans="1:18" ht="15.75" thickTop="1" x14ac:dyDescent="0.2">
      <c r="A55" s="250"/>
      <c r="C55" s="220"/>
      <c r="D55" s="220"/>
      <c r="E55" s="160"/>
      <c r="L55" s="219">
        <f t="shared" si="25"/>
        <v>2023</v>
      </c>
      <c r="M55" s="220">
        <f t="shared" si="26"/>
        <v>0</v>
      </c>
      <c r="N55" s="220">
        <f>IF($G$22&lt;=5,O54,N54)</f>
        <v>0</v>
      </c>
      <c r="O55" s="220">
        <f t="shared" si="23"/>
        <v>0</v>
      </c>
      <c r="Q55" s="221">
        <f t="shared" si="24"/>
        <v>0</v>
      </c>
      <c r="R55" s="222">
        <f t="shared" si="27"/>
        <v>0</v>
      </c>
    </row>
    <row r="56" spans="1:18" x14ac:dyDescent="0.2">
      <c r="A56" s="176"/>
      <c r="E56" s="160"/>
      <c r="L56" s="219">
        <f t="shared" si="25"/>
        <v>2024</v>
      </c>
      <c r="M56" s="220">
        <f t="shared" si="26"/>
        <v>0</v>
      </c>
      <c r="N56" s="220">
        <f>IF($G$22&lt;=6,O55,N55)</f>
        <v>0</v>
      </c>
      <c r="O56" s="220">
        <f t="shared" si="23"/>
        <v>0</v>
      </c>
      <c r="Q56" s="221">
        <f t="shared" si="24"/>
        <v>0</v>
      </c>
      <c r="R56" s="222">
        <f t="shared" si="27"/>
        <v>0</v>
      </c>
    </row>
    <row r="57" spans="1:18" ht="15.75" thickBot="1" x14ac:dyDescent="0.25">
      <c r="A57" s="252"/>
      <c r="B57" s="98"/>
      <c r="C57" s="224"/>
      <c r="D57" s="224"/>
      <c r="E57" s="253"/>
      <c r="L57" s="223">
        <f t="shared" si="25"/>
        <v>2025</v>
      </c>
      <c r="M57" s="224">
        <f t="shared" si="26"/>
        <v>0</v>
      </c>
      <c r="N57" s="224">
        <f>IF($G$22&lt;=7,O56,N56)</f>
        <v>0</v>
      </c>
      <c r="O57" s="224">
        <f t="shared" si="23"/>
        <v>0</v>
      </c>
      <c r="P57" s="98"/>
      <c r="Q57" s="225">
        <f t="shared" si="24"/>
        <v>0</v>
      </c>
      <c r="R57" s="226">
        <f t="shared" si="27"/>
        <v>0</v>
      </c>
    </row>
    <row r="58" spans="1:18" ht="15.75" thickBot="1" x14ac:dyDescent="0.25"/>
    <row r="59" spans="1:18" x14ac:dyDescent="0.2">
      <c r="A59" s="261"/>
      <c r="L59" s="157" t="s">
        <v>219</v>
      </c>
      <c r="M59" s="158"/>
      <c r="N59" s="158"/>
      <c r="O59" s="158"/>
      <c r="P59" s="158"/>
      <c r="Q59" s="214"/>
      <c r="R59" s="159"/>
    </row>
    <row r="60" spans="1:18" ht="15" customHeight="1" x14ac:dyDescent="0.25">
      <c r="L60" s="176"/>
      <c r="Q60" s="215" t="s">
        <v>138</v>
      </c>
      <c r="R60" s="216" t="s">
        <v>138</v>
      </c>
    </row>
    <row r="61" spans="1:18" ht="15.75" x14ac:dyDescent="0.25">
      <c r="L61" s="217" t="s">
        <v>214</v>
      </c>
      <c r="M61" s="218" t="s">
        <v>210</v>
      </c>
      <c r="N61" s="218" t="s">
        <v>211</v>
      </c>
      <c r="O61" s="218" t="s">
        <v>212</v>
      </c>
      <c r="Q61" s="215" t="s">
        <v>237</v>
      </c>
      <c r="R61" s="216" t="s">
        <v>238</v>
      </c>
    </row>
    <row r="62" spans="1:18" x14ac:dyDescent="0.2">
      <c r="L62" s="219">
        <f>L51-1</f>
        <v>2018</v>
      </c>
      <c r="M62" s="220">
        <f>H26</f>
        <v>0</v>
      </c>
      <c r="N62" s="220">
        <f>ROUND(IF(M62=0,0,M62/H22),0)</f>
        <v>0</v>
      </c>
      <c r="O62" s="220">
        <f t="shared" ref="O62:O68" si="28">M62-N62</f>
        <v>0</v>
      </c>
      <c r="Q62" s="221">
        <f t="shared" ref="Q62:Q68" si="29">IF(O62&gt;0,O62,0)</f>
        <v>0</v>
      </c>
      <c r="R62" s="222">
        <f>IF(O62&lt;0,O62,0)</f>
        <v>0</v>
      </c>
    </row>
    <row r="63" spans="1:18" x14ac:dyDescent="0.2">
      <c r="L63" s="219">
        <f t="shared" ref="L63:L68" si="30">L62+1</f>
        <v>2019</v>
      </c>
      <c r="M63" s="220">
        <f t="shared" ref="M63:M68" si="31">O62</f>
        <v>0</v>
      </c>
      <c r="N63" s="220">
        <f>IF($H$22&lt;=2,O62,N62)</f>
        <v>0</v>
      </c>
      <c r="O63" s="220">
        <f t="shared" si="28"/>
        <v>0</v>
      </c>
      <c r="Q63" s="221">
        <f t="shared" si="29"/>
        <v>0</v>
      </c>
      <c r="R63" s="222">
        <f t="shared" ref="R63:R68" si="32">IF(O63&lt;0,O63,0)</f>
        <v>0</v>
      </c>
    </row>
    <row r="64" spans="1:18" x14ac:dyDescent="0.2">
      <c r="L64" s="219">
        <f t="shared" si="30"/>
        <v>2020</v>
      </c>
      <c r="M64" s="220">
        <f t="shared" si="31"/>
        <v>0</v>
      </c>
      <c r="N64" s="220">
        <f>IF($H$22&lt;=3,O63,N63)</f>
        <v>0</v>
      </c>
      <c r="O64" s="220">
        <f t="shared" si="28"/>
        <v>0</v>
      </c>
      <c r="Q64" s="221">
        <f t="shared" si="29"/>
        <v>0</v>
      </c>
      <c r="R64" s="222">
        <f t="shared" si="32"/>
        <v>0</v>
      </c>
    </row>
    <row r="65" spans="1:18" ht="15.75" thickBot="1" x14ac:dyDescent="0.25">
      <c r="L65" s="219">
        <f t="shared" si="30"/>
        <v>2021</v>
      </c>
      <c r="M65" s="220">
        <f t="shared" si="31"/>
        <v>0</v>
      </c>
      <c r="N65" s="220">
        <f>IF($H$22&lt;=4,O64,N64)</f>
        <v>0</v>
      </c>
      <c r="O65" s="220">
        <f t="shared" si="28"/>
        <v>0</v>
      </c>
      <c r="Q65" s="221">
        <f t="shared" si="29"/>
        <v>0</v>
      </c>
      <c r="R65" s="222">
        <f t="shared" si="32"/>
        <v>0</v>
      </c>
    </row>
    <row r="66" spans="1:18" ht="15.75" x14ac:dyDescent="0.25">
      <c r="A66" s="243" t="s">
        <v>396</v>
      </c>
      <c r="B66" s="158"/>
      <c r="C66" s="158"/>
      <c r="D66" s="158"/>
      <c r="E66" s="159"/>
      <c r="L66" s="219">
        <f t="shared" si="30"/>
        <v>2022</v>
      </c>
      <c r="M66" s="220">
        <f t="shared" si="31"/>
        <v>0</v>
      </c>
      <c r="N66" s="220">
        <f>IF($H$22&lt;=5,O65,N65)</f>
        <v>0</v>
      </c>
      <c r="O66" s="220">
        <f t="shared" si="28"/>
        <v>0</v>
      </c>
      <c r="Q66" s="221">
        <f t="shared" si="29"/>
        <v>0</v>
      </c>
      <c r="R66" s="222">
        <f t="shared" si="32"/>
        <v>0</v>
      </c>
    </row>
    <row r="67" spans="1:18" x14ac:dyDescent="0.2">
      <c r="A67" s="244"/>
      <c r="B67" s="245"/>
      <c r="C67" s="256" t="s">
        <v>399</v>
      </c>
      <c r="D67" s="245"/>
      <c r="E67" s="160"/>
      <c r="L67" s="219">
        <f t="shared" si="30"/>
        <v>2023</v>
      </c>
      <c r="M67" s="220">
        <f t="shared" si="31"/>
        <v>0</v>
      </c>
      <c r="N67" s="220">
        <f>IF($H$22&lt;=6,O66,N66)</f>
        <v>0</v>
      </c>
      <c r="O67" s="220">
        <f t="shared" si="28"/>
        <v>0</v>
      </c>
      <c r="Q67" s="221">
        <f t="shared" si="29"/>
        <v>0</v>
      </c>
      <c r="R67" s="222">
        <f t="shared" si="32"/>
        <v>0</v>
      </c>
    </row>
    <row r="68" spans="1:18" ht="15.75" thickBot="1" x14ac:dyDescent="0.25">
      <c r="A68" s="176"/>
      <c r="B68" s="245"/>
      <c r="C68" s="256" t="s">
        <v>400</v>
      </c>
      <c r="E68" s="160"/>
      <c r="L68" s="223">
        <f t="shared" si="30"/>
        <v>2024</v>
      </c>
      <c r="M68" s="224">
        <f t="shared" si="31"/>
        <v>0</v>
      </c>
      <c r="N68" s="224">
        <f>IF($H$22&lt;=7,O67,N67)</f>
        <v>0</v>
      </c>
      <c r="O68" s="224">
        <f t="shared" si="28"/>
        <v>0</v>
      </c>
      <c r="P68" s="98"/>
      <c r="Q68" s="225">
        <f t="shared" si="29"/>
        <v>0</v>
      </c>
      <c r="R68" s="226">
        <f t="shared" si="32"/>
        <v>0</v>
      </c>
    </row>
    <row r="69" spans="1:18" ht="15.75" thickBot="1" x14ac:dyDescent="0.25">
      <c r="A69" s="244" t="s">
        <v>397</v>
      </c>
      <c r="B69" s="245"/>
      <c r="C69" s="257" t="s">
        <v>401</v>
      </c>
      <c r="D69" s="245"/>
      <c r="E69" s="160"/>
    </row>
    <row r="70" spans="1:18" x14ac:dyDescent="0.2">
      <c r="A70" s="248"/>
      <c r="B70" s="245"/>
      <c r="C70" s="254"/>
      <c r="D70" s="162"/>
      <c r="E70" s="160"/>
      <c r="L70" s="157" t="s">
        <v>220</v>
      </c>
      <c r="M70" s="158"/>
      <c r="N70" s="158"/>
      <c r="O70" s="158"/>
      <c r="P70" s="158"/>
      <c r="Q70" s="214"/>
      <c r="R70" s="159"/>
    </row>
    <row r="71" spans="1:18" ht="15.75" x14ac:dyDescent="0.25">
      <c r="A71" s="248">
        <f>L8+1</f>
        <v>2025</v>
      </c>
      <c r="B71" s="245"/>
      <c r="C71" s="162" t="e">
        <f>ROUND(N8+N20+N32+N44+N56+N68,0)</f>
        <v>#REF!</v>
      </c>
      <c r="D71" s="162"/>
      <c r="E71" s="258"/>
      <c r="L71" s="176"/>
      <c r="Q71" s="215" t="s">
        <v>138</v>
      </c>
      <c r="R71" s="216" t="s">
        <v>138</v>
      </c>
    </row>
    <row r="72" spans="1:18" ht="15.75" x14ac:dyDescent="0.25">
      <c r="A72" s="248">
        <f>L9+1</f>
        <v>2026</v>
      </c>
      <c r="B72" s="245"/>
      <c r="C72" s="162" t="e">
        <f>ROUND(N9+N21+N33+N45+N57,0)</f>
        <v>#REF!</v>
      </c>
      <c r="D72" s="162"/>
      <c r="E72" s="160"/>
      <c r="L72" s="217" t="s">
        <v>214</v>
      </c>
      <c r="M72" s="218" t="s">
        <v>210</v>
      </c>
      <c r="N72" s="218" t="s">
        <v>211</v>
      </c>
      <c r="O72" s="218" t="s">
        <v>212</v>
      </c>
      <c r="Q72" s="215" t="s">
        <v>237</v>
      </c>
      <c r="R72" s="216" t="s">
        <v>238</v>
      </c>
    </row>
    <row r="73" spans="1:18" x14ac:dyDescent="0.2">
      <c r="A73" s="248">
        <f>L10+1</f>
        <v>2027</v>
      </c>
      <c r="B73" s="245"/>
      <c r="C73" s="162" t="e">
        <f>ROUND(N10+N22+N34+N46,0)</f>
        <v>#REF!</v>
      </c>
      <c r="D73" s="162"/>
      <c r="E73" s="160"/>
      <c r="L73" s="219">
        <f>L62-1</f>
        <v>2017</v>
      </c>
      <c r="M73" s="220">
        <f>I26</f>
        <v>0</v>
      </c>
      <c r="N73" s="220">
        <f>ROUND(IF(M73=0,0,M73/I22),0)</f>
        <v>0</v>
      </c>
      <c r="O73" s="220">
        <f t="shared" ref="O73:O79" si="33">M73-N73</f>
        <v>0</v>
      </c>
      <c r="Q73" s="221">
        <f t="shared" ref="Q73:Q79" si="34">IF(O73&gt;0,O73,0)</f>
        <v>0</v>
      </c>
      <c r="R73" s="222">
        <f>IF(O73&lt;0,O73,0)</f>
        <v>0</v>
      </c>
    </row>
    <row r="74" spans="1:18" x14ac:dyDescent="0.2">
      <c r="A74" s="248">
        <f>L11+1</f>
        <v>2028</v>
      </c>
      <c r="B74" s="245"/>
      <c r="C74" s="162" t="e">
        <f>ROUND(N11+N23+N35,0)</f>
        <v>#REF!</v>
      </c>
      <c r="D74" s="162"/>
      <c r="E74" s="160"/>
      <c r="L74" s="219">
        <f t="shared" ref="L74:L79" si="35">L73+1</f>
        <v>2018</v>
      </c>
      <c r="M74" s="220">
        <f t="shared" ref="M74:M79" si="36">O73</f>
        <v>0</v>
      </c>
      <c r="N74" s="220">
        <f>IF($I$22&lt;=2,O73,N73)</f>
        <v>0</v>
      </c>
      <c r="O74" s="220">
        <f t="shared" si="33"/>
        <v>0</v>
      </c>
      <c r="Q74" s="221">
        <f t="shared" si="34"/>
        <v>0</v>
      </c>
      <c r="R74" s="222">
        <f t="shared" ref="R74:R79" si="37">IF(O74&lt;0,O74,0)</f>
        <v>0</v>
      </c>
    </row>
    <row r="75" spans="1:18" x14ac:dyDescent="0.2">
      <c r="A75" s="248">
        <f>L12+1</f>
        <v>2029</v>
      </c>
      <c r="B75" s="245"/>
      <c r="C75" s="162" t="e">
        <f>ROUND(N12+N24+C80,0)</f>
        <v>#REF!</v>
      </c>
      <c r="D75" s="162"/>
      <c r="E75" s="160"/>
      <c r="L75" s="219">
        <f t="shared" si="35"/>
        <v>2019</v>
      </c>
      <c r="M75" s="220">
        <f t="shared" si="36"/>
        <v>0</v>
      </c>
      <c r="N75" s="220">
        <f>IF($I$22&lt;=3,O74,N74)</f>
        <v>0</v>
      </c>
      <c r="O75" s="220">
        <f t="shared" si="33"/>
        <v>0</v>
      </c>
      <c r="Q75" s="221">
        <f t="shared" si="34"/>
        <v>0</v>
      </c>
      <c r="R75" s="222">
        <f t="shared" si="37"/>
        <v>0</v>
      </c>
    </row>
    <row r="76" spans="1:18" x14ac:dyDescent="0.2">
      <c r="A76" s="248" t="s">
        <v>143</v>
      </c>
      <c r="C76" s="220" t="e">
        <f>N13</f>
        <v>#REF!</v>
      </c>
      <c r="D76" s="220"/>
      <c r="E76" s="160"/>
      <c r="L76" s="219">
        <f t="shared" si="35"/>
        <v>2020</v>
      </c>
      <c r="M76" s="220">
        <f t="shared" si="36"/>
        <v>0</v>
      </c>
      <c r="N76" s="220">
        <f>IF($I$22&lt;=4,O75,N75)</f>
        <v>0</v>
      </c>
      <c r="O76" s="220">
        <f t="shared" si="33"/>
        <v>0</v>
      </c>
      <c r="Q76" s="221">
        <f t="shared" si="34"/>
        <v>0</v>
      </c>
      <c r="R76" s="222">
        <f t="shared" si="37"/>
        <v>0</v>
      </c>
    </row>
    <row r="77" spans="1:18" ht="15.75" customHeight="1" thickBot="1" x14ac:dyDescent="0.25">
      <c r="A77" s="250"/>
      <c r="B77" s="245"/>
      <c r="C77" s="241" t="e">
        <f>SUM(C71:C76)</f>
        <v>#REF!</v>
      </c>
      <c r="D77" s="220"/>
      <c r="E77" s="160"/>
      <c r="L77" s="219">
        <f t="shared" si="35"/>
        <v>2021</v>
      </c>
      <c r="M77" s="220">
        <f t="shared" si="36"/>
        <v>0</v>
      </c>
      <c r="N77" s="220">
        <f>IF($I$22&lt;=5,O76,N76)</f>
        <v>0</v>
      </c>
      <c r="O77" s="220">
        <f t="shared" si="33"/>
        <v>0</v>
      </c>
      <c r="Q77" s="221">
        <f t="shared" si="34"/>
        <v>0</v>
      </c>
      <c r="R77" s="222">
        <f t="shared" si="37"/>
        <v>0</v>
      </c>
    </row>
    <row r="78" spans="1:18" ht="15.75" thickTop="1" x14ac:dyDescent="0.2">
      <c r="A78" s="250"/>
      <c r="C78" s="220"/>
      <c r="D78" s="220"/>
      <c r="E78" s="160"/>
      <c r="L78" s="219">
        <f t="shared" si="35"/>
        <v>2022</v>
      </c>
      <c r="M78" s="220">
        <f t="shared" si="36"/>
        <v>0</v>
      </c>
      <c r="N78" s="220">
        <f>IF($I$22&lt;=6,O77,N77)</f>
        <v>0</v>
      </c>
      <c r="O78" s="220">
        <f t="shared" si="33"/>
        <v>0</v>
      </c>
      <c r="Q78" s="221">
        <f t="shared" si="34"/>
        <v>0</v>
      </c>
      <c r="R78" s="222">
        <f t="shared" si="37"/>
        <v>0</v>
      </c>
    </row>
    <row r="79" spans="1:18" ht="15.75" thickBot="1" x14ac:dyDescent="0.25">
      <c r="A79" s="248" t="s">
        <v>130</v>
      </c>
      <c r="C79" s="220" t="e">
        <f>E54-C77</f>
        <v>#REF!</v>
      </c>
      <c r="E79" s="160"/>
      <c r="L79" s="223">
        <f t="shared" si="35"/>
        <v>2023</v>
      </c>
      <c r="M79" s="224">
        <f t="shared" si="36"/>
        <v>0</v>
      </c>
      <c r="N79" s="224">
        <f>IF($I$22&lt;=7,O78,N78)</f>
        <v>0</v>
      </c>
      <c r="O79" s="224">
        <f t="shared" si="33"/>
        <v>0</v>
      </c>
      <c r="P79" s="98"/>
      <c r="Q79" s="225">
        <f t="shared" si="34"/>
        <v>0</v>
      </c>
      <c r="R79" s="226">
        <f t="shared" si="37"/>
        <v>0</v>
      </c>
    </row>
    <row r="80" spans="1:18" ht="15.75" thickBot="1" x14ac:dyDescent="0.25">
      <c r="A80" s="252" t="s">
        <v>338</v>
      </c>
      <c r="B80" s="98"/>
      <c r="C80" s="213">
        <v>0</v>
      </c>
      <c r="D80" s="224"/>
      <c r="E80" s="253"/>
    </row>
    <row r="94" ht="15" customHeight="1" x14ac:dyDescent="0.2"/>
  </sheetData>
  <protectedRanges>
    <protectedRange sqref="G17" name="Range1"/>
  </protectedRanges>
  <mergeCells count="5">
    <mergeCell ref="C45:C46"/>
    <mergeCell ref="D45:D46"/>
    <mergeCell ref="C13:I13"/>
    <mergeCell ref="L2:R2"/>
    <mergeCell ref="E45:E46"/>
  </mergeCells>
  <pageMargins left="0.7" right="0.7" top="0.75" bottom="0.75" header="0.3" footer="0.3"/>
  <cellWatches>
    <cellWatch r="C79"/>
  </cellWatche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7" tint="0.59999389629810485"/>
  </sheetPr>
  <dimension ref="A1:T112"/>
  <sheetViews>
    <sheetView zoomScale="85" zoomScaleNormal="85" workbookViewId="0">
      <selection activeCell="I30" sqref="I30"/>
    </sheetView>
  </sheetViews>
  <sheetFormatPr defaultColWidth="8.88671875" defaultRowHeight="15" x14ac:dyDescent="0.2"/>
  <cols>
    <col min="1" max="1" width="64.6640625" customWidth="1"/>
    <col min="2" max="2" width="1" customWidth="1"/>
    <col min="3" max="3" width="13.6640625" customWidth="1"/>
    <col min="4" max="4" width="12.88671875" customWidth="1"/>
    <col min="5" max="9" width="13" bestFit="1" customWidth="1"/>
    <col min="10" max="11" width="14.21875" customWidth="1"/>
    <col min="12" max="12" width="13.77734375" customWidth="1"/>
    <col min="13" max="13" width="1.44140625" customWidth="1"/>
    <col min="14" max="14" width="10.77734375" customWidth="1"/>
    <col min="15" max="15" width="12.21875" bestFit="1" customWidth="1"/>
    <col min="16" max="16" width="10.6640625" bestFit="1" customWidth="1"/>
    <col min="17" max="17" width="9.5546875" bestFit="1" customWidth="1"/>
    <col min="18" max="18" width="1.21875" customWidth="1"/>
    <col min="20" max="20" width="9.5546875" bestFit="1" customWidth="1"/>
  </cols>
  <sheetData>
    <row r="1" spans="1:20" ht="18.75" thickBot="1" x14ac:dyDescent="0.3">
      <c r="A1" s="22" t="s">
        <v>232</v>
      </c>
      <c r="C1" s="20" t="s">
        <v>18</v>
      </c>
    </row>
    <row r="2" spans="1:20" ht="18.75" thickBot="1" x14ac:dyDescent="0.3">
      <c r="C2" s="20" t="str">
        <f>'Change in Proportion - LEA'!C2</f>
        <v>Password for protected sheet: BOE2024</v>
      </c>
      <c r="N2" s="486" t="s">
        <v>368</v>
      </c>
      <c r="O2" s="487"/>
      <c r="P2" s="487"/>
      <c r="Q2" s="487"/>
      <c r="R2" s="487"/>
      <c r="S2" s="487"/>
      <c r="T2" s="488"/>
    </row>
    <row r="3" spans="1:20" ht="15.75" thickBot="1" x14ac:dyDescent="0.25"/>
    <row r="4" spans="1:20" x14ac:dyDescent="0.2">
      <c r="A4" s="45" t="s">
        <v>209</v>
      </c>
      <c r="C4" s="62">
        <f>'Change in Proportion - LEA'!C10</f>
        <v>2024</v>
      </c>
      <c r="N4" s="157" t="s">
        <v>213</v>
      </c>
      <c r="O4" s="158"/>
      <c r="P4" s="158"/>
      <c r="Q4" s="158"/>
      <c r="R4" s="158"/>
      <c r="S4" s="214"/>
      <c r="T4" s="159"/>
    </row>
    <row r="5" spans="1:20" ht="15.75" x14ac:dyDescent="0.25">
      <c r="A5" s="23"/>
      <c r="N5" s="176"/>
      <c r="S5" s="215" t="s">
        <v>138</v>
      </c>
      <c r="T5" s="216" t="s">
        <v>138</v>
      </c>
    </row>
    <row r="6" spans="1:20" ht="15.75" x14ac:dyDescent="0.25">
      <c r="C6" s="436" t="s">
        <v>203</v>
      </c>
      <c r="D6" s="440"/>
      <c r="E6" s="440"/>
      <c r="F6" s="440"/>
      <c r="G6" s="440"/>
      <c r="H6" s="440"/>
      <c r="N6" s="217" t="s">
        <v>214</v>
      </c>
      <c r="O6" s="218" t="s">
        <v>210</v>
      </c>
      <c r="P6" s="218" t="s">
        <v>211</v>
      </c>
      <c r="Q6" s="218" t="s">
        <v>212</v>
      </c>
      <c r="S6" s="215" t="s">
        <v>237</v>
      </c>
      <c r="T6" s="216" t="s">
        <v>238</v>
      </c>
    </row>
    <row r="7" spans="1:20" x14ac:dyDescent="0.2">
      <c r="C7" s="436" t="s">
        <v>204</v>
      </c>
      <c r="D7" s="440"/>
      <c r="E7" s="440"/>
      <c r="F7" s="440"/>
      <c r="G7" s="440"/>
      <c r="H7" s="440"/>
      <c r="N7" s="219">
        <f>C4-1</f>
        <v>2023</v>
      </c>
      <c r="O7" s="220">
        <f>C26</f>
        <v>0</v>
      </c>
      <c r="P7" s="220">
        <f>ROUND(IF(O7=0,0,O7/$C$22),0)</f>
        <v>0</v>
      </c>
      <c r="Q7" s="220">
        <f t="shared" ref="Q7:Q13" si="0">O7-P7</f>
        <v>0</v>
      </c>
      <c r="S7" s="221">
        <f t="shared" ref="S7:S13" si="1">IF(Q7&gt;0,Q7,0)</f>
        <v>0</v>
      </c>
      <c r="T7" s="222">
        <f>IF(Q7&lt;0,Q7,0)</f>
        <v>0</v>
      </c>
    </row>
    <row r="8" spans="1:20" x14ac:dyDescent="0.2">
      <c r="C8" s="436" t="s">
        <v>205</v>
      </c>
      <c r="D8" s="440"/>
      <c r="E8" s="440"/>
      <c r="F8" s="440"/>
      <c r="G8" s="440"/>
      <c r="H8" s="440"/>
      <c r="N8" s="219">
        <f t="shared" ref="N8:N13" si="2">N7+1</f>
        <v>2024</v>
      </c>
      <c r="O8" s="220">
        <f t="shared" ref="O8:O13" si="3">Q7</f>
        <v>0</v>
      </c>
      <c r="P8" s="220">
        <f>IF($C$22&lt;=2,Q7,P7)</f>
        <v>0</v>
      </c>
      <c r="Q8" s="220">
        <f t="shared" si="0"/>
        <v>0</v>
      </c>
      <c r="S8" s="221">
        <f t="shared" si="1"/>
        <v>0</v>
      </c>
      <c r="T8" s="222">
        <f t="shared" ref="T8:T13" si="4">IF(Q8&lt;0,Q8,0)</f>
        <v>0</v>
      </c>
    </row>
    <row r="9" spans="1:20" x14ac:dyDescent="0.2">
      <c r="C9" s="436" t="s">
        <v>425</v>
      </c>
      <c r="D9" s="440"/>
      <c r="E9" s="440"/>
      <c r="F9" s="440"/>
      <c r="G9" s="440"/>
      <c r="H9" s="440"/>
      <c r="N9" s="219">
        <f t="shared" si="2"/>
        <v>2025</v>
      </c>
      <c r="O9" s="220">
        <f t="shared" si="3"/>
        <v>0</v>
      </c>
      <c r="P9" s="220">
        <f>IF($C$22&lt;=3,Q8,P8)</f>
        <v>0</v>
      </c>
      <c r="Q9" s="220">
        <f t="shared" si="0"/>
        <v>0</v>
      </c>
      <c r="S9" s="221">
        <f t="shared" si="1"/>
        <v>0</v>
      </c>
      <c r="T9" s="222">
        <f t="shared" si="4"/>
        <v>0</v>
      </c>
    </row>
    <row r="10" spans="1:20" x14ac:dyDescent="0.2">
      <c r="C10" s="436" t="s">
        <v>206</v>
      </c>
      <c r="D10" s="440"/>
      <c r="E10" s="440"/>
      <c r="F10" s="440"/>
      <c r="G10" s="440"/>
      <c r="H10" s="440"/>
      <c r="L10" s="519"/>
      <c r="N10" s="219">
        <f t="shared" si="2"/>
        <v>2026</v>
      </c>
      <c r="O10" s="220">
        <f t="shared" si="3"/>
        <v>0</v>
      </c>
      <c r="P10" s="220">
        <f>IF($C$22&lt;=4,Q9,P9)</f>
        <v>0</v>
      </c>
      <c r="Q10" s="220">
        <f t="shared" si="0"/>
        <v>0</v>
      </c>
      <c r="S10" s="221">
        <f t="shared" si="1"/>
        <v>0</v>
      </c>
      <c r="T10" s="222">
        <f t="shared" si="4"/>
        <v>0</v>
      </c>
    </row>
    <row r="11" spans="1:20" x14ac:dyDescent="0.2">
      <c r="C11" s="436" t="s">
        <v>207</v>
      </c>
      <c r="D11" s="440"/>
      <c r="E11" s="440"/>
      <c r="F11" s="440"/>
      <c r="G11" s="440"/>
      <c r="H11" s="440"/>
      <c r="N11" s="219">
        <f t="shared" si="2"/>
        <v>2027</v>
      </c>
      <c r="O11" s="220">
        <f t="shared" si="3"/>
        <v>0</v>
      </c>
      <c r="P11" s="220">
        <f>IF($C$22&lt;=5,Q10,P10)</f>
        <v>0</v>
      </c>
      <c r="Q11" s="220">
        <f t="shared" si="0"/>
        <v>0</v>
      </c>
      <c r="S11" s="221">
        <f t="shared" si="1"/>
        <v>0</v>
      </c>
      <c r="T11" s="222">
        <f t="shared" si="4"/>
        <v>0</v>
      </c>
    </row>
    <row r="12" spans="1:20" ht="15.75" thickBot="1" x14ac:dyDescent="0.25">
      <c r="N12" s="219">
        <f t="shared" si="2"/>
        <v>2028</v>
      </c>
      <c r="O12" s="220">
        <f t="shared" si="3"/>
        <v>0</v>
      </c>
      <c r="P12" s="220">
        <f>IF($C$22&lt;=6,Q11,P11)</f>
        <v>0</v>
      </c>
      <c r="Q12" s="220">
        <f t="shared" si="0"/>
        <v>0</v>
      </c>
      <c r="S12" s="221">
        <f t="shared" si="1"/>
        <v>0</v>
      </c>
      <c r="T12" s="222">
        <f t="shared" si="4"/>
        <v>0</v>
      </c>
    </row>
    <row r="13" spans="1:20" ht="16.5" customHeight="1" thickBot="1" x14ac:dyDescent="0.3">
      <c r="A13" s="157"/>
      <c r="B13" s="159"/>
      <c r="C13" s="492" t="s">
        <v>195</v>
      </c>
      <c r="D13" s="493"/>
      <c r="E13" s="493"/>
      <c r="F13" s="493"/>
      <c r="G13" s="493"/>
      <c r="H13" s="493"/>
      <c r="I13" s="493"/>
      <c r="J13" s="493"/>
      <c r="K13" s="493"/>
      <c r="L13" s="494"/>
      <c r="N13" s="223">
        <f t="shared" si="2"/>
        <v>2029</v>
      </c>
      <c r="O13" s="224">
        <f t="shared" si="3"/>
        <v>0</v>
      </c>
      <c r="P13" s="224">
        <f>IF($C$22&lt;=7,Q12,P12)</f>
        <v>0</v>
      </c>
      <c r="Q13" s="224">
        <f t="shared" si="0"/>
        <v>0</v>
      </c>
      <c r="R13" s="98"/>
      <c r="S13" s="225">
        <f t="shared" si="1"/>
        <v>0</v>
      </c>
      <c r="T13" s="226">
        <f t="shared" si="4"/>
        <v>0</v>
      </c>
    </row>
    <row r="14" spans="1:20" ht="16.5" thickBot="1" x14ac:dyDescent="0.3">
      <c r="A14" s="176"/>
      <c r="B14" s="160"/>
      <c r="C14" s="227">
        <f>C4-1</f>
        <v>2023</v>
      </c>
      <c r="D14" s="228">
        <f>C14-1</f>
        <v>2022</v>
      </c>
      <c r="E14" s="228">
        <f>C14-2</f>
        <v>2021</v>
      </c>
      <c r="F14" s="228">
        <f>C14-3</f>
        <v>2020</v>
      </c>
      <c r="G14" s="228">
        <f>C14-4</f>
        <v>2019</v>
      </c>
      <c r="H14" s="228">
        <f>C14-5</f>
        <v>2018</v>
      </c>
      <c r="I14" s="228">
        <f>C14-6</f>
        <v>2017</v>
      </c>
      <c r="J14" s="228">
        <f>C14-7</f>
        <v>2016</v>
      </c>
      <c r="K14" s="228">
        <f>C14-8</f>
        <v>2015</v>
      </c>
      <c r="L14" s="228">
        <f>C14-9</f>
        <v>2014</v>
      </c>
    </row>
    <row r="15" spans="1:20" ht="15.75" thickBot="1" x14ac:dyDescent="0.25">
      <c r="A15" s="176"/>
      <c r="B15" s="160"/>
      <c r="C15" s="515" t="s">
        <v>196</v>
      </c>
      <c r="D15" s="515" t="s">
        <v>197</v>
      </c>
      <c r="E15" s="515" t="s">
        <v>198</v>
      </c>
      <c r="F15" s="515" t="s">
        <v>199</v>
      </c>
      <c r="G15" s="515" t="s">
        <v>200</v>
      </c>
      <c r="H15" s="515" t="s">
        <v>201</v>
      </c>
      <c r="I15" s="515" t="s">
        <v>202</v>
      </c>
      <c r="J15" s="515" t="s">
        <v>480</v>
      </c>
      <c r="K15" s="515" t="s">
        <v>518</v>
      </c>
      <c r="L15" s="515" t="s">
        <v>541</v>
      </c>
      <c r="N15" s="157" t="s">
        <v>215</v>
      </c>
      <c r="O15" s="158"/>
      <c r="P15" s="158"/>
      <c r="Q15" s="158"/>
      <c r="R15" s="158"/>
      <c r="S15" s="214"/>
      <c r="T15" s="159"/>
    </row>
    <row r="16" spans="1:20" ht="15.75" x14ac:dyDescent="0.25">
      <c r="A16" s="231"/>
      <c r="B16" s="160"/>
      <c r="C16" s="232"/>
      <c r="D16" s="233"/>
      <c r="E16" s="158"/>
      <c r="F16" s="158"/>
      <c r="G16" s="158"/>
      <c r="H16" s="158"/>
      <c r="I16" s="158"/>
      <c r="J16" s="158"/>
      <c r="K16" s="158"/>
      <c r="L16" s="159"/>
      <c r="N16" s="176"/>
      <c r="S16" s="215" t="s">
        <v>138</v>
      </c>
      <c r="T16" s="216" t="s">
        <v>138</v>
      </c>
    </row>
    <row r="17" spans="1:20" ht="15.75" x14ac:dyDescent="0.25">
      <c r="A17" s="234" t="s">
        <v>233</v>
      </c>
      <c r="B17" s="160"/>
      <c r="C17" s="235">
        <f>'Net LEA Amounts'!I13</f>
        <v>0</v>
      </c>
      <c r="D17" s="236">
        <f>'Net LEA Amounts'!I48</f>
        <v>0</v>
      </c>
      <c r="E17" s="107">
        <v>0</v>
      </c>
      <c r="F17" s="107">
        <v>0</v>
      </c>
      <c r="G17" s="107">
        <v>0</v>
      </c>
      <c r="H17" s="107">
        <v>0</v>
      </c>
      <c r="I17" s="107">
        <v>0</v>
      </c>
      <c r="J17" s="107">
        <v>0</v>
      </c>
      <c r="K17" s="107">
        <v>0</v>
      </c>
      <c r="L17" s="439">
        <v>0</v>
      </c>
      <c r="N17" s="217" t="s">
        <v>214</v>
      </c>
      <c r="O17" s="218" t="s">
        <v>210</v>
      </c>
      <c r="P17" s="218" t="s">
        <v>211</v>
      </c>
      <c r="Q17" s="218" t="s">
        <v>212</v>
      </c>
      <c r="S17" s="215" t="s">
        <v>237</v>
      </c>
      <c r="T17" s="216" t="s">
        <v>238</v>
      </c>
    </row>
    <row r="18" spans="1:20" ht="15.75" x14ac:dyDescent="0.25">
      <c r="A18" s="234" t="s">
        <v>442</v>
      </c>
      <c r="B18" s="160"/>
      <c r="C18" s="221">
        <f>'GASB 68 Sch Input CY'!B38</f>
        <v>407182995</v>
      </c>
      <c r="D18" s="516">
        <f>'GASB 68 Sch Input PY '!B38</f>
        <v>412124000</v>
      </c>
      <c r="E18" s="516">
        <v>417334000</v>
      </c>
      <c r="F18" s="516">
        <v>413728000</v>
      </c>
      <c r="G18" s="516">
        <v>433203000</v>
      </c>
      <c r="H18" s="516">
        <v>443800000</v>
      </c>
      <c r="I18" s="516">
        <v>413976000</v>
      </c>
      <c r="J18" s="516">
        <v>387685000</v>
      </c>
      <c r="K18" s="516">
        <v>454721000</v>
      </c>
      <c r="L18" s="222">
        <v>488511000</v>
      </c>
      <c r="N18" s="219">
        <f>N7-1</f>
        <v>2022</v>
      </c>
      <c r="O18" s="220">
        <f>D26</f>
        <v>0</v>
      </c>
      <c r="P18" s="220">
        <f>ROUND(IF(O18=0,0,O18/D22),0)</f>
        <v>0</v>
      </c>
      <c r="Q18" s="220">
        <f t="shared" ref="Q18:Q24" si="5">O18-P18</f>
        <v>0</v>
      </c>
      <c r="S18" s="221">
        <f t="shared" ref="S18:S24" si="6">IF(Q18&gt;0,Q18,0)</f>
        <v>0</v>
      </c>
      <c r="T18" s="222">
        <f>IF(Q18&lt;0,Q18,0)</f>
        <v>0</v>
      </c>
    </row>
    <row r="19" spans="1:20" ht="15.75" x14ac:dyDescent="0.25">
      <c r="A19" s="234" t="s">
        <v>443</v>
      </c>
      <c r="B19" s="160"/>
      <c r="C19" s="221">
        <f>'GASB 68 Sch Input CY'!B21</f>
        <v>2289406000</v>
      </c>
      <c r="D19" s="516">
        <f>'GASB 68 Sch Input PY '!B21</f>
        <v>2572065000</v>
      </c>
      <c r="E19" s="516">
        <v>1562779000</v>
      </c>
      <c r="F19" s="516">
        <v>3220941000</v>
      </c>
      <c r="G19" s="516">
        <v>2975171000</v>
      </c>
      <c r="H19" s="516">
        <v>3122257000</v>
      </c>
      <c r="I19" s="516">
        <v>3454972000</v>
      </c>
      <c r="J19" s="516">
        <v>4109834000</v>
      </c>
      <c r="K19" s="516">
        <v>3465254000</v>
      </c>
      <c r="L19" s="222">
        <v>3450093000</v>
      </c>
      <c r="N19" s="219">
        <f t="shared" ref="N19:N24" si="7">N18+1</f>
        <v>2023</v>
      </c>
      <c r="O19" s="220">
        <f t="shared" ref="O19:O24" si="8">Q18</f>
        <v>0</v>
      </c>
      <c r="P19" s="220">
        <f>IF($D$22&lt;=2,Q18,P18)</f>
        <v>0</v>
      </c>
      <c r="Q19" s="220">
        <f t="shared" si="5"/>
        <v>0</v>
      </c>
      <c r="S19" s="221">
        <f t="shared" si="6"/>
        <v>0</v>
      </c>
      <c r="T19" s="222">
        <f t="shared" ref="T19:T24" si="9">IF(Q19&lt;0,Q19,0)</f>
        <v>0</v>
      </c>
    </row>
    <row r="20" spans="1:20" ht="15.75" x14ac:dyDescent="0.25">
      <c r="A20" s="234" t="s">
        <v>444</v>
      </c>
      <c r="B20" s="160"/>
      <c r="C20" s="221">
        <f>-'GASB 68 Sch Input CY'!P21</f>
        <v>-309193968</v>
      </c>
      <c r="D20" s="516">
        <f>-'GASB 68 Sch Input PY '!N21</f>
        <v>-462599067</v>
      </c>
      <c r="E20" s="516">
        <v>-484590793</v>
      </c>
      <c r="F20" s="516">
        <v>-543669374</v>
      </c>
      <c r="G20" s="516">
        <v>-324963408</v>
      </c>
      <c r="H20" s="516">
        <v>-418772427</v>
      </c>
      <c r="I20" s="516">
        <v>-441569429</v>
      </c>
      <c r="J20" s="516">
        <v>-776074005</v>
      </c>
      <c r="K20" s="516">
        <v>-346973746</v>
      </c>
      <c r="L20" s="222">
        <v>-121646999</v>
      </c>
      <c r="N20" s="219">
        <f t="shared" si="7"/>
        <v>2024</v>
      </c>
      <c r="O20" s="220">
        <f t="shared" si="8"/>
        <v>0</v>
      </c>
      <c r="P20" s="220">
        <f>IF($D$22&lt;=3,Q19,P19)</f>
        <v>0</v>
      </c>
      <c r="Q20" s="220">
        <f t="shared" si="5"/>
        <v>0</v>
      </c>
      <c r="S20" s="221">
        <f t="shared" si="6"/>
        <v>0</v>
      </c>
      <c r="T20" s="222">
        <f t="shared" si="9"/>
        <v>0</v>
      </c>
    </row>
    <row r="21" spans="1:20" ht="15.75" x14ac:dyDescent="0.25">
      <c r="A21" s="234" t="s">
        <v>446</v>
      </c>
      <c r="B21" s="160"/>
      <c r="C21" s="221">
        <f>'GASB 68 Sch Input CY'!Z21</f>
        <v>94430968</v>
      </c>
      <c r="D21" s="516">
        <f>'GASB 68 Sch Input PY '!X21</f>
        <v>127130067</v>
      </c>
      <c r="E21" s="516">
        <v>1458034793</v>
      </c>
      <c r="F21" s="516">
        <v>299843374</v>
      </c>
      <c r="G21" s="516">
        <v>428465408</v>
      </c>
      <c r="H21" s="516">
        <v>524806427</v>
      </c>
      <c r="I21" s="516">
        <v>451886429</v>
      </c>
      <c r="J21" s="516">
        <v>261668005</v>
      </c>
      <c r="K21" s="516">
        <v>523232746</v>
      </c>
      <c r="L21" s="222">
        <v>577682199</v>
      </c>
      <c r="N21" s="219">
        <f t="shared" si="7"/>
        <v>2025</v>
      </c>
      <c r="O21" s="220">
        <f t="shared" si="8"/>
        <v>0</v>
      </c>
      <c r="P21" s="220">
        <f>IF($D$22&lt;=4,Q20,P20)</f>
        <v>0</v>
      </c>
      <c r="Q21" s="220">
        <f t="shared" si="5"/>
        <v>0</v>
      </c>
      <c r="S21" s="221">
        <f t="shared" si="6"/>
        <v>0</v>
      </c>
      <c r="T21" s="222">
        <f t="shared" si="9"/>
        <v>0</v>
      </c>
    </row>
    <row r="22" spans="1:20" x14ac:dyDescent="0.2">
      <c r="A22" s="105" t="s">
        <v>208</v>
      </c>
      <c r="B22" s="160"/>
      <c r="C22" s="237">
        <f>'GASB 68 Sch Input CY'!F48</f>
        <v>5.04</v>
      </c>
      <c r="D22" s="517">
        <f>'Change in Proportion - LEA'!D28</f>
        <v>5.12</v>
      </c>
      <c r="E22" s="517">
        <v>5.0599999999999996</v>
      </c>
      <c r="F22" s="517">
        <v>5</v>
      </c>
      <c r="G22" s="517">
        <v>5.45</v>
      </c>
      <c r="H22" s="517">
        <v>5.71</v>
      </c>
      <c r="I22" s="517">
        <v>5.98</v>
      </c>
      <c r="J22" s="517">
        <v>5.96</v>
      </c>
      <c r="K22" s="517">
        <v>6</v>
      </c>
      <c r="L22" s="249">
        <v>5.91</v>
      </c>
      <c r="N22" s="219">
        <f t="shared" si="7"/>
        <v>2026</v>
      </c>
      <c r="O22" s="220">
        <f t="shared" si="8"/>
        <v>0</v>
      </c>
      <c r="P22" s="220">
        <f>IF($D$22&lt;=5,Q21,P21)</f>
        <v>0</v>
      </c>
      <c r="Q22" s="220">
        <f t="shared" si="5"/>
        <v>0</v>
      </c>
      <c r="S22" s="221">
        <f t="shared" si="6"/>
        <v>0</v>
      </c>
      <c r="T22" s="222">
        <f t="shared" si="9"/>
        <v>0</v>
      </c>
    </row>
    <row r="23" spans="1:20" x14ac:dyDescent="0.2">
      <c r="A23" s="105" t="s">
        <v>359</v>
      </c>
      <c r="B23" s="160"/>
      <c r="C23" s="221">
        <f>ROUND((C17-D17)*D20,8)</f>
        <v>0</v>
      </c>
      <c r="D23" s="425">
        <f>ROUND((D17-E17)*E20,8)</f>
        <v>0</v>
      </c>
      <c r="E23" s="425">
        <f>ROUND((E17-F17)*F20,8)</f>
        <v>0</v>
      </c>
      <c r="F23" s="425">
        <f>ROUND((F17-G17)*G20,8)</f>
        <v>0</v>
      </c>
      <c r="G23" s="425">
        <f>ROUND((G17-H17)*H20,8)</f>
        <v>0</v>
      </c>
      <c r="H23" s="425">
        <f t="shared" ref="H23" si="10">ROUND((H17-I17)*I20,8)</f>
        <v>0</v>
      </c>
      <c r="I23" s="425">
        <f t="shared" ref="I23:L23" si="11">ROUND((I17-J17)*J20,8)</f>
        <v>0</v>
      </c>
      <c r="J23" s="425">
        <f t="shared" si="11"/>
        <v>0</v>
      </c>
      <c r="K23" s="425">
        <f t="shared" si="11"/>
        <v>0</v>
      </c>
      <c r="L23" s="513">
        <f t="shared" si="11"/>
        <v>0</v>
      </c>
      <c r="N23" s="219">
        <f>N22+1</f>
        <v>2027</v>
      </c>
      <c r="O23" s="220">
        <f>Q22</f>
        <v>0</v>
      </c>
      <c r="P23" s="220">
        <f>IF($D$22&lt;=6,Q22,P22)</f>
        <v>0</v>
      </c>
      <c r="Q23" s="220">
        <f t="shared" si="5"/>
        <v>0</v>
      </c>
      <c r="S23" s="221">
        <f t="shared" si="6"/>
        <v>0</v>
      </c>
      <c r="T23" s="222">
        <f t="shared" si="9"/>
        <v>0</v>
      </c>
    </row>
    <row r="24" spans="1:20" ht="15.75" thickBot="1" x14ac:dyDescent="0.25">
      <c r="A24" s="105" t="s">
        <v>360</v>
      </c>
      <c r="B24" s="160"/>
      <c r="C24" s="221">
        <f>ROUND((C17-D17)*D21,8)</f>
        <v>0</v>
      </c>
      <c r="D24" s="425">
        <f>ROUND((D17-E17)*E21,8)</f>
        <v>0</v>
      </c>
      <c r="E24" s="425">
        <f>ROUND((E17-F17)*F21,8)</f>
        <v>0</v>
      </c>
      <c r="F24" s="425">
        <f>ROUND((F17-G17)*G21,8)</f>
        <v>0</v>
      </c>
      <c r="G24" s="425">
        <f>ROUND((G17-H17)*H21,8)</f>
        <v>0</v>
      </c>
      <c r="H24" s="425">
        <f t="shared" ref="H24" si="12">ROUND((H17-I17)*I21,8)</f>
        <v>0</v>
      </c>
      <c r="I24" s="425">
        <f t="shared" ref="I24:L24" si="13">ROUND((I17-J17)*J21,8)</f>
        <v>0</v>
      </c>
      <c r="J24" s="425">
        <f t="shared" si="13"/>
        <v>0</v>
      </c>
      <c r="K24" s="425">
        <f t="shared" si="13"/>
        <v>0</v>
      </c>
      <c r="L24" s="513">
        <f t="shared" si="13"/>
        <v>0</v>
      </c>
      <c r="N24" s="223">
        <f t="shared" si="7"/>
        <v>2028</v>
      </c>
      <c r="O24" s="224">
        <f t="shared" si="8"/>
        <v>0</v>
      </c>
      <c r="P24" s="224">
        <f>IF($D$22&lt;=7,Q23,P23)</f>
        <v>0</v>
      </c>
      <c r="Q24" s="224">
        <f t="shared" si="5"/>
        <v>0</v>
      </c>
      <c r="R24" s="98"/>
      <c r="S24" s="225">
        <f t="shared" si="6"/>
        <v>0</v>
      </c>
      <c r="T24" s="226">
        <f t="shared" si="9"/>
        <v>0</v>
      </c>
    </row>
    <row r="25" spans="1:20" ht="15.75" customHeight="1" thickBot="1" x14ac:dyDescent="0.25">
      <c r="A25" s="239" t="s">
        <v>358</v>
      </c>
      <c r="B25" s="160"/>
      <c r="C25" s="225">
        <f t="shared" ref="C25:G25" si="14">ROUND((C17-D17)*D19,8)</f>
        <v>0</v>
      </c>
      <c r="D25" s="224">
        <f t="shared" si="14"/>
        <v>0</v>
      </c>
      <c r="E25" s="224">
        <f t="shared" si="14"/>
        <v>0</v>
      </c>
      <c r="F25" s="224">
        <f t="shared" si="14"/>
        <v>0</v>
      </c>
      <c r="G25" s="224">
        <f t="shared" si="14"/>
        <v>0</v>
      </c>
      <c r="H25" s="224">
        <f t="shared" ref="H25" si="15">ROUND((H17-I17)*I19,8)</f>
        <v>0</v>
      </c>
      <c r="I25" s="224">
        <f t="shared" ref="I25:L25" si="16">ROUND((I17-J17)*J19,8)</f>
        <v>0</v>
      </c>
      <c r="J25" s="224">
        <f t="shared" si="16"/>
        <v>0</v>
      </c>
      <c r="K25" s="224">
        <f t="shared" si="16"/>
        <v>0</v>
      </c>
      <c r="L25" s="514">
        <f t="shared" si="16"/>
        <v>0</v>
      </c>
    </row>
    <row r="26" spans="1:20" ht="15" customHeight="1" thickBot="1" x14ac:dyDescent="0.25">
      <c r="A26" s="239" t="s">
        <v>365</v>
      </c>
      <c r="B26" s="160"/>
      <c r="C26" s="437">
        <f t="shared" ref="C26:H26" si="17">SUM(C23:C25)</f>
        <v>0</v>
      </c>
      <c r="D26" s="438">
        <f t="shared" si="17"/>
        <v>0</v>
      </c>
      <c r="E26" s="438">
        <f t="shared" si="17"/>
        <v>0</v>
      </c>
      <c r="F26" s="438">
        <f t="shared" si="17"/>
        <v>0</v>
      </c>
      <c r="G26" s="438">
        <f t="shared" si="17"/>
        <v>0</v>
      </c>
      <c r="H26" s="438">
        <f t="shared" si="17"/>
        <v>0</v>
      </c>
      <c r="I26" s="438">
        <f t="shared" ref="I26:L26" si="18">SUM(I23:I25)</f>
        <v>0</v>
      </c>
      <c r="J26" s="438">
        <f t="shared" si="18"/>
        <v>0</v>
      </c>
      <c r="K26" s="438">
        <f t="shared" si="18"/>
        <v>0</v>
      </c>
      <c r="L26" s="518">
        <f t="shared" si="18"/>
        <v>0</v>
      </c>
      <c r="N26" s="157" t="s">
        <v>216</v>
      </c>
      <c r="O26" s="158"/>
      <c r="P26" s="158"/>
      <c r="Q26" s="158"/>
      <c r="R26" s="158"/>
      <c r="S26" s="214"/>
      <c r="T26" s="159"/>
    </row>
    <row r="27" spans="1:20" ht="15.75" customHeight="1" thickTop="1" thickBot="1" x14ac:dyDescent="0.3">
      <c r="A27" s="205"/>
      <c r="B27" s="161"/>
      <c r="C27" s="205"/>
      <c r="D27" s="98"/>
      <c r="E27" s="98"/>
      <c r="F27" s="98"/>
      <c r="G27" s="98"/>
      <c r="H27" s="98"/>
      <c r="I27" s="98"/>
      <c r="J27" s="98"/>
      <c r="K27" s="98"/>
      <c r="L27" s="161"/>
      <c r="N27" s="176"/>
      <c r="S27" s="215" t="s">
        <v>138</v>
      </c>
      <c r="T27" s="216" t="s">
        <v>138</v>
      </c>
    </row>
    <row r="28" spans="1:20" ht="16.5" thickBot="1" x14ac:dyDescent="0.3">
      <c r="N28" s="217" t="s">
        <v>214</v>
      </c>
      <c r="O28" s="218" t="s">
        <v>210</v>
      </c>
      <c r="P28" s="218" t="s">
        <v>211</v>
      </c>
      <c r="Q28" s="218" t="s">
        <v>212</v>
      </c>
      <c r="S28" s="215" t="s">
        <v>237</v>
      </c>
      <c r="T28" s="216" t="s">
        <v>238</v>
      </c>
    </row>
    <row r="29" spans="1:20" ht="15.75" x14ac:dyDescent="0.25">
      <c r="A29" s="243" t="s">
        <v>221</v>
      </c>
      <c r="B29" s="158"/>
      <c r="C29" s="158"/>
      <c r="D29" s="159"/>
      <c r="N29" s="219">
        <f>N18-1</f>
        <v>2021</v>
      </c>
      <c r="O29" s="220">
        <f>E26</f>
        <v>0</v>
      </c>
      <c r="P29" s="220">
        <f>ROUND(IF(O29=0,0,O29/E22),0)</f>
        <v>0</v>
      </c>
      <c r="Q29" s="220">
        <f t="shared" ref="Q29:Q35" si="19">O29-P29</f>
        <v>0</v>
      </c>
      <c r="S29" s="221">
        <f t="shared" ref="S29:S35" si="20">IF(Q29&gt;0,Q29,0)</f>
        <v>0</v>
      </c>
      <c r="T29" s="222">
        <f>IF(Q29&lt;0,Q29,0)</f>
        <v>0</v>
      </c>
    </row>
    <row r="30" spans="1:20" x14ac:dyDescent="0.2">
      <c r="A30" s="244" t="s">
        <v>195</v>
      </c>
      <c r="B30" s="245"/>
      <c r="C30" s="246" t="s">
        <v>7</v>
      </c>
      <c r="D30" s="247"/>
      <c r="E30" s="246"/>
      <c r="F30" s="246"/>
      <c r="N30" s="219">
        <f t="shared" ref="N30:N35" si="21">N29+1</f>
        <v>2022</v>
      </c>
      <c r="O30" s="220">
        <f t="shared" ref="O30:O35" si="22">Q29</f>
        <v>0</v>
      </c>
      <c r="P30" s="220">
        <f>IF($E$22&lt;=2,Q29,P29)</f>
        <v>0</v>
      </c>
      <c r="Q30" s="220">
        <f t="shared" si="19"/>
        <v>0</v>
      </c>
      <c r="S30" s="221">
        <f t="shared" si="20"/>
        <v>0</v>
      </c>
      <c r="T30" s="222">
        <f t="shared" ref="T30:T35" si="23">IF(Q30&lt;0,Q30,0)</f>
        <v>0</v>
      </c>
    </row>
    <row r="31" spans="1:20" x14ac:dyDescent="0.2">
      <c r="A31" s="248">
        <f>C14</f>
        <v>2023</v>
      </c>
      <c r="B31" s="245"/>
      <c r="C31" s="220">
        <f>P7</f>
        <v>0</v>
      </c>
      <c r="D31" s="222"/>
      <c r="E31" s="220"/>
      <c r="N31" s="219">
        <f t="shared" si="21"/>
        <v>2023</v>
      </c>
      <c r="O31" s="220">
        <f t="shared" si="22"/>
        <v>0</v>
      </c>
      <c r="P31" s="220">
        <f>IF($E$22&lt;=3,Q30,P30)</f>
        <v>0</v>
      </c>
      <c r="Q31" s="220">
        <f t="shared" si="19"/>
        <v>0</v>
      </c>
      <c r="S31" s="221">
        <f t="shared" si="20"/>
        <v>0</v>
      </c>
      <c r="T31" s="222">
        <f t="shared" si="23"/>
        <v>0</v>
      </c>
    </row>
    <row r="32" spans="1:20" x14ac:dyDescent="0.2">
      <c r="A32" s="248">
        <f>D14</f>
        <v>2022</v>
      </c>
      <c r="B32" s="245"/>
      <c r="C32" s="220">
        <f>P19</f>
        <v>0</v>
      </c>
      <c r="D32" s="222"/>
      <c r="E32" s="220"/>
      <c r="N32" s="219">
        <f t="shared" si="21"/>
        <v>2024</v>
      </c>
      <c r="O32" s="220">
        <f t="shared" si="22"/>
        <v>0</v>
      </c>
      <c r="P32" s="220">
        <f>IF($E$22&lt;=4,Q31,P31)</f>
        <v>0</v>
      </c>
      <c r="Q32" s="220">
        <f t="shared" si="19"/>
        <v>0</v>
      </c>
      <c r="S32" s="221">
        <f t="shared" si="20"/>
        <v>0</v>
      </c>
      <c r="T32" s="222">
        <f t="shared" si="23"/>
        <v>0</v>
      </c>
    </row>
    <row r="33" spans="1:20" x14ac:dyDescent="0.2">
      <c r="A33" s="248">
        <f>E14</f>
        <v>2021</v>
      </c>
      <c r="B33" s="245"/>
      <c r="C33" s="220">
        <f>P31</f>
        <v>0</v>
      </c>
      <c r="D33" s="249"/>
      <c r="E33" s="220"/>
      <c r="N33" s="219">
        <f t="shared" si="21"/>
        <v>2025</v>
      </c>
      <c r="O33" s="220">
        <f t="shared" si="22"/>
        <v>0</v>
      </c>
      <c r="P33" s="220">
        <f>IF($E$22&lt;=5,Q32,P32)</f>
        <v>0</v>
      </c>
      <c r="Q33" s="220">
        <f t="shared" si="19"/>
        <v>0</v>
      </c>
      <c r="S33" s="221">
        <f t="shared" si="20"/>
        <v>0</v>
      </c>
      <c r="T33" s="222">
        <f t="shared" si="23"/>
        <v>0</v>
      </c>
    </row>
    <row r="34" spans="1:20" ht="15.75" x14ac:dyDescent="0.25">
      <c r="A34" s="248">
        <f>F14</f>
        <v>2020</v>
      </c>
      <c r="B34" s="245"/>
      <c r="C34" s="220">
        <f>P43</f>
        <v>0</v>
      </c>
      <c r="D34" s="249"/>
      <c r="E34" s="220"/>
      <c r="G34" s="22"/>
      <c r="H34" s="22"/>
      <c r="I34" s="22"/>
      <c r="N34" s="219">
        <f t="shared" si="21"/>
        <v>2026</v>
      </c>
      <c r="O34" s="220">
        <f t="shared" si="22"/>
        <v>0</v>
      </c>
      <c r="P34" s="220">
        <f>IF($E$22&lt;=6,Q33,P33)</f>
        <v>0</v>
      </c>
      <c r="Q34" s="220">
        <f t="shared" si="19"/>
        <v>0</v>
      </c>
      <c r="S34" s="221">
        <f t="shared" si="20"/>
        <v>0</v>
      </c>
      <c r="T34" s="222">
        <f t="shared" si="23"/>
        <v>0</v>
      </c>
    </row>
    <row r="35" spans="1:20" ht="16.5" thickBot="1" x14ac:dyDescent="0.3">
      <c r="A35" s="248">
        <f>G14</f>
        <v>2019</v>
      </c>
      <c r="B35" s="245"/>
      <c r="C35" s="220">
        <f>P55</f>
        <v>0</v>
      </c>
      <c r="D35" s="249"/>
      <c r="E35" s="220"/>
      <c r="G35" s="34"/>
      <c r="H35" s="34"/>
      <c r="I35" s="34"/>
      <c r="N35" s="223">
        <f t="shared" si="21"/>
        <v>2027</v>
      </c>
      <c r="O35" s="224">
        <f t="shared" si="22"/>
        <v>0</v>
      </c>
      <c r="P35" s="224">
        <f>IF($E$22&lt;=7,Q34,P34)</f>
        <v>0</v>
      </c>
      <c r="Q35" s="224">
        <f t="shared" si="19"/>
        <v>0</v>
      </c>
      <c r="R35" s="98"/>
      <c r="S35" s="225">
        <f t="shared" si="20"/>
        <v>0</v>
      </c>
      <c r="T35" s="226">
        <f t="shared" si="23"/>
        <v>0</v>
      </c>
    </row>
    <row r="36" spans="1:20" ht="15.75" thickBot="1" x14ac:dyDescent="0.25">
      <c r="A36" s="248">
        <f>H14</f>
        <v>2018</v>
      </c>
      <c r="B36" s="245"/>
      <c r="C36" s="220">
        <f>P67</f>
        <v>0</v>
      </c>
      <c r="D36" s="249"/>
      <c r="E36" s="220"/>
      <c r="G36" s="9"/>
      <c r="H36" s="9"/>
      <c r="I36" s="9"/>
    </row>
    <row r="37" spans="1:20" x14ac:dyDescent="0.2">
      <c r="A37" s="248">
        <f>I14</f>
        <v>2017</v>
      </c>
      <c r="B37" s="245"/>
      <c r="C37" s="220">
        <f>P79</f>
        <v>0</v>
      </c>
      <c r="D37" s="249"/>
      <c r="E37" s="220"/>
      <c r="N37" s="157" t="s">
        <v>217</v>
      </c>
      <c r="O37" s="158"/>
      <c r="P37" s="158"/>
      <c r="Q37" s="158"/>
      <c r="R37" s="158"/>
      <c r="S37" s="214"/>
      <c r="T37" s="159"/>
    </row>
    <row r="38" spans="1:20" ht="16.5" thickBot="1" x14ac:dyDescent="0.3">
      <c r="A38" s="495" t="s">
        <v>222</v>
      </c>
      <c r="B38" s="245"/>
      <c r="C38" s="241">
        <f>SUM(C31:C37)</f>
        <v>0</v>
      </c>
      <c r="D38" s="222"/>
      <c r="E38" s="220"/>
      <c r="N38" s="176"/>
      <c r="S38" s="215" t="s">
        <v>138</v>
      </c>
      <c r="T38" s="216" t="s">
        <v>138</v>
      </c>
    </row>
    <row r="39" spans="1:20" ht="16.5" thickTop="1" x14ac:dyDescent="0.25">
      <c r="A39" s="495"/>
      <c r="B39" s="245"/>
      <c r="C39" s="220"/>
      <c r="D39" s="251"/>
      <c r="N39" s="217" t="s">
        <v>214</v>
      </c>
      <c r="O39" s="218" t="s">
        <v>210</v>
      </c>
      <c r="P39" s="218" t="s">
        <v>211</v>
      </c>
      <c r="Q39" s="218" t="s">
        <v>212</v>
      </c>
      <c r="S39" s="215" t="s">
        <v>237</v>
      </c>
      <c r="T39" s="216" t="s">
        <v>238</v>
      </c>
    </row>
    <row r="40" spans="1:20" ht="15.75" thickBot="1" x14ac:dyDescent="0.25">
      <c r="A40" s="252"/>
      <c r="B40" s="98"/>
      <c r="C40" s="98"/>
      <c r="D40" s="253"/>
      <c r="F40" s="220"/>
      <c r="G40" s="260"/>
      <c r="N40" s="219">
        <f>N29-1</f>
        <v>2020</v>
      </c>
      <c r="O40" s="220">
        <f>F26</f>
        <v>0</v>
      </c>
      <c r="P40" s="220">
        <f>ROUND(IF(O40=0,0,O40/F22),0)</f>
        <v>0</v>
      </c>
      <c r="Q40" s="220">
        <f t="shared" ref="Q40:Q46" si="24">O40-P40</f>
        <v>0</v>
      </c>
      <c r="S40" s="221">
        <f t="shared" ref="S40:S46" si="25">IF(Q40&gt;0,Q40,0)</f>
        <v>0</v>
      </c>
      <c r="T40" s="222">
        <f>IF(Q40&lt;0,Q40,0)</f>
        <v>0</v>
      </c>
    </row>
    <row r="41" spans="1:20" x14ac:dyDescent="0.2">
      <c r="N41" s="219">
        <f t="shared" ref="N41:N46" si="26">N40+1</f>
        <v>2021</v>
      </c>
      <c r="O41" s="220">
        <f t="shared" ref="O41:O46" si="27">Q40</f>
        <v>0</v>
      </c>
      <c r="P41" s="220">
        <f>IF($F$22&lt;=2,Q40,P40)</f>
        <v>0</v>
      </c>
      <c r="Q41" s="220">
        <f t="shared" si="24"/>
        <v>0</v>
      </c>
      <c r="S41" s="221">
        <f t="shared" si="25"/>
        <v>0</v>
      </c>
      <c r="T41" s="222">
        <f t="shared" ref="T41:T46" si="28">IF(Q41&lt;0,Q41,0)</f>
        <v>0</v>
      </c>
    </row>
    <row r="42" spans="1:20" ht="15.75" thickBot="1" x14ac:dyDescent="0.25">
      <c r="N42" s="219">
        <f t="shared" si="26"/>
        <v>2022</v>
      </c>
      <c r="O42" s="220">
        <f t="shared" si="27"/>
        <v>0</v>
      </c>
      <c r="P42" s="220">
        <f>IF($F$22&lt;=3,Q41,P41)</f>
        <v>0</v>
      </c>
      <c r="Q42" s="220">
        <f t="shared" si="24"/>
        <v>0</v>
      </c>
      <c r="S42" s="221">
        <f t="shared" si="25"/>
        <v>0</v>
      </c>
      <c r="T42" s="222">
        <f t="shared" si="28"/>
        <v>0</v>
      </c>
    </row>
    <row r="43" spans="1:20" ht="15.75" x14ac:dyDescent="0.25">
      <c r="A43" s="243" t="s">
        <v>223</v>
      </c>
      <c r="B43" s="158"/>
      <c r="C43" s="158"/>
      <c r="D43" s="158"/>
      <c r="E43" s="159"/>
      <c r="N43" s="219">
        <f t="shared" si="26"/>
        <v>2023</v>
      </c>
      <c r="O43" s="220">
        <f t="shared" si="27"/>
        <v>0</v>
      </c>
      <c r="P43" s="220">
        <f>IF($F$22&lt;=4,Q42,P42)</f>
        <v>0</v>
      </c>
      <c r="Q43" s="220">
        <f t="shared" si="24"/>
        <v>0</v>
      </c>
      <c r="S43" s="221">
        <f t="shared" si="25"/>
        <v>0</v>
      </c>
      <c r="T43" s="222">
        <f t="shared" si="28"/>
        <v>0</v>
      </c>
    </row>
    <row r="44" spans="1:20" x14ac:dyDescent="0.2">
      <c r="A44" s="244"/>
      <c r="B44" s="245"/>
      <c r="C44" s="245"/>
      <c r="D44" s="245"/>
      <c r="E44" s="160"/>
      <c r="N44" s="219">
        <f t="shared" si="26"/>
        <v>2024</v>
      </c>
      <c r="O44" s="220">
        <f t="shared" si="27"/>
        <v>0</v>
      </c>
      <c r="P44" s="220">
        <f>IF($F$22&lt;=5,Q43,P43)</f>
        <v>0</v>
      </c>
      <c r="Q44" s="220">
        <f t="shared" si="24"/>
        <v>0</v>
      </c>
      <c r="S44" s="221">
        <f t="shared" si="25"/>
        <v>0</v>
      </c>
      <c r="T44" s="222">
        <f t="shared" si="28"/>
        <v>0</v>
      </c>
    </row>
    <row r="45" spans="1:20" x14ac:dyDescent="0.2">
      <c r="A45" s="244"/>
      <c r="B45" s="245"/>
      <c r="C45" s="489" t="s">
        <v>224</v>
      </c>
      <c r="D45" s="489" t="s">
        <v>225</v>
      </c>
      <c r="E45" s="490" t="s">
        <v>398</v>
      </c>
      <c r="N45" s="219">
        <f t="shared" si="26"/>
        <v>2025</v>
      </c>
      <c r="O45" s="220">
        <f t="shared" si="27"/>
        <v>0</v>
      </c>
      <c r="P45" s="220">
        <f>IF($F$22&lt;=6,Q44,P44)</f>
        <v>0</v>
      </c>
      <c r="Q45" s="220">
        <f t="shared" si="24"/>
        <v>0</v>
      </c>
      <c r="S45" s="221">
        <f t="shared" si="25"/>
        <v>0</v>
      </c>
      <c r="T45" s="222">
        <f t="shared" si="28"/>
        <v>0</v>
      </c>
    </row>
    <row r="46" spans="1:20" ht="15.75" thickBot="1" x14ac:dyDescent="0.25">
      <c r="A46" s="244" t="s">
        <v>227</v>
      </c>
      <c r="B46" s="245"/>
      <c r="C46" s="489"/>
      <c r="D46" s="489"/>
      <c r="E46" s="490"/>
      <c r="N46" s="223">
        <f t="shared" si="26"/>
        <v>2026</v>
      </c>
      <c r="O46" s="224">
        <f t="shared" si="27"/>
        <v>0</v>
      </c>
      <c r="P46" s="224">
        <f>IF($F$22&lt;=7,Q45,P45)</f>
        <v>0</v>
      </c>
      <c r="Q46" s="224">
        <f t="shared" si="24"/>
        <v>0</v>
      </c>
      <c r="R46" s="98"/>
      <c r="S46" s="225">
        <f t="shared" si="25"/>
        <v>0</v>
      </c>
      <c r="T46" s="226">
        <f t="shared" si="28"/>
        <v>0</v>
      </c>
    </row>
    <row r="47" spans="1:20" ht="15.75" thickBot="1" x14ac:dyDescent="0.25">
      <c r="A47" s="248">
        <f>C14</f>
        <v>2023</v>
      </c>
      <c r="B47" s="245"/>
      <c r="C47" s="162">
        <f>ROUND(S7,0)</f>
        <v>0</v>
      </c>
      <c r="D47" s="162">
        <f>ROUND(T7,0)</f>
        <v>0</v>
      </c>
      <c r="E47" s="222">
        <f>SUM(C47:D47)</f>
        <v>0</v>
      </c>
    </row>
    <row r="48" spans="1:20" x14ac:dyDescent="0.2">
      <c r="A48" s="248">
        <f>D14</f>
        <v>2022</v>
      </c>
      <c r="B48" s="245"/>
      <c r="C48" s="162">
        <f>ROUND(S19,0)</f>
        <v>0</v>
      </c>
      <c r="D48" s="162">
        <f>ROUND(T19,0)</f>
        <v>0</v>
      </c>
      <c r="E48" s="222">
        <f t="shared" ref="E48:E53" si="29">SUM(C48:D48)</f>
        <v>0</v>
      </c>
      <c r="N48" s="157" t="s">
        <v>218</v>
      </c>
      <c r="O48" s="158"/>
      <c r="P48" s="158"/>
      <c r="Q48" s="158"/>
      <c r="R48" s="158"/>
      <c r="S48" s="214"/>
      <c r="T48" s="159"/>
    </row>
    <row r="49" spans="1:20" ht="15.75" x14ac:dyDescent="0.25">
      <c r="A49" s="248">
        <f>E14</f>
        <v>2021</v>
      </c>
      <c r="B49" s="245"/>
      <c r="C49" s="162">
        <f>ROUND(S31,0)</f>
        <v>0</v>
      </c>
      <c r="D49" s="162">
        <f>ROUND(T31,0)</f>
        <v>0</v>
      </c>
      <c r="E49" s="222">
        <f t="shared" si="29"/>
        <v>0</v>
      </c>
      <c r="N49" s="176"/>
      <c r="S49" s="215" t="s">
        <v>138</v>
      </c>
      <c r="T49" s="216" t="s">
        <v>138</v>
      </c>
    </row>
    <row r="50" spans="1:20" ht="15.75" x14ac:dyDescent="0.25">
      <c r="A50" s="248">
        <f>F14</f>
        <v>2020</v>
      </c>
      <c r="B50" s="245"/>
      <c r="C50" s="162">
        <f>ROUND(S43,0)</f>
        <v>0</v>
      </c>
      <c r="D50" s="162">
        <f>ROUND(T43,0)</f>
        <v>0</v>
      </c>
      <c r="E50" s="222">
        <f t="shared" si="29"/>
        <v>0</v>
      </c>
      <c r="N50" s="217" t="s">
        <v>214</v>
      </c>
      <c r="O50" s="218" t="s">
        <v>210</v>
      </c>
      <c r="P50" s="218" t="s">
        <v>211</v>
      </c>
      <c r="Q50" s="218" t="s">
        <v>212</v>
      </c>
      <c r="S50" s="215" t="s">
        <v>237</v>
      </c>
      <c r="T50" s="216" t="s">
        <v>238</v>
      </c>
    </row>
    <row r="51" spans="1:20" x14ac:dyDescent="0.2">
      <c r="A51" s="248">
        <f>G14</f>
        <v>2019</v>
      </c>
      <c r="B51" s="245"/>
      <c r="C51" s="162">
        <f>ROUND(S55,0)</f>
        <v>0</v>
      </c>
      <c r="D51" s="162">
        <f>ROUND(T55,0)</f>
        <v>0</v>
      </c>
      <c r="E51" s="222">
        <f t="shared" si="29"/>
        <v>0</v>
      </c>
      <c r="N51" s="219">
        <f>N40-1</f>
        <v>2019</v>
      </c>
      <c r="O51" s="220">
        <f>G26</f>
        <v>0</v>
      </c>
      <c r="P51" s="220">
        <f>ROUND(IF(O51=0,0,O51/G22),0)</f>
        <v>0</v>
      </c>
      <c r="Q51" s="220">
        <f t="shared" ref="Q51:Q57" si="30">O51-P51</f>
        <v>0</v>
      </c>
      <c r="S51" s="221">
        <f t="shared" ref="S51:S57" si="31">IF(Q51&gt;0,Q51,0)</f>
        <v>0</v>
      </c>
      <c r="T51" s="222">
        <f>IF(Q51&lt;0,Q51,0)</f>
        <v>0</v>
      </c>
    </row>
    <row r="52" spans="1:20" x14ac:dyDescent="0.2">
      <c r="A52" s="248">
        <f>H14</f>
        <v>2018</v>
      </c>
      <c r="B52" s="245"/>
      <c r="C52" s="162">
        <f>ROUND(S67,0)</f>
        <v>0</v>
      </c>
      <c r="D52" s="162">
        <f>ROUND(T67,0)</f>
        <v>0</v>
      </c>
      <c r="E52" s="222">
        <f t="shared" si="29"/>
        <v>0</v>
      </c>
      <c r="N52" s="219">
        <f t="shared" ref="N52:N57" si="32">N51+1</f>
        <v>2020</v>
      </c>
      <c r="O52" s="220">
        <f t="shared" ref="O52:O57" si="33">Q51</f>
        <v>0</v>
      </c>
      <c r="P52" s="220">
        <f>IF($G$22&lt;=2,Q51,P51)</f>
        <v>0</v>
      </c>
      <c r="Q52" s="220">
        <f t="shared" si="30"/>
        <v>0</v>
      </c>
      <c r="S52" s="221">
        <f t="shared" si="31"/>
        <v>0</v>
      </c>
      <c r="T52" s="222">
        <f t="shared" ref="T52:T57" si="34">IF(Q52&lt;0,Q52,0)</f>
        <v>0</v>
      </c>
    </row>
    <row r="53" spans="1:20" x14ac:dyDescent="0.2">
      <c r="A53" s="248">
        <f>I14</f>
        <v>2017</v>
      </c>
      <c r="C53" s="220">
        <f>ROUND(S79,0)</f>
        <v>0</v>
      </c>
      <c r="D53" s="220">
        <f>ROUND(T79,0)</f>
        <v>0</v>
      </c>
      <c r="E53" s="222">
        <f t="shared" si="29"/>
        <v>0</v>
      </c>
      <c r="N53" s="219">
        <f t="shared" si="32"/>
        <v>2021</v>
      </c>
      <c r="O53" s="220">
        <f t="shared" si="33"/>
        <v>0</v>
      </c>
      <c r="P53" s="220">
        <f>IF($G$22&lt;=3,Q52,P52)</f>
        <v>0</v>
      </c>
      <c r="Q53" s="220">
        <f t="shared" si="30"/>
        <v>0</v>
      </c>
      <c r="S53" s="221">
        <f t="shared" si="31"/>
        <v>0</v>
      </c>
      <c r="T53" s="222">
        <f t="shared" si="34"/>
        <v>0</v>
      </c>
    </row>
    <row r="54" spans="1:20" ht="15.75" thickBot="1" x14ac:dyDescent="0.25">
      <c r="A54" s="495" t="s">
        <v>226</v>
      </c>
      <c r="B54" s="245"/>
      <c r="C54" s="241">
        <f>SUM(C47:C52)</f>
        <v>0</v>
      </c>
      <c r="D54" s="241">
        <f>SUM(D47:D52)</f>
        <v>0</v>
      </c>
      <c r="E54" s="242">
        <f>SUM(E47:E53)</f>
        <v>0</v>
      </c>
      <c r="N54" s="219">
        <f t="shared" si="32"/>
        <v>2022</v>
      </c>
      <c r="O54" s="220">
        <f t="shared" si="33"/>
        <v>0</v>
      </c>
      <c r="P54" s="220">
        <f>IF($G$22&lt;=4,Q53,P53)</f>
        <v>0</v>
      </c>
      <c r="Q54" s="220">
        <f t="shared" si="30"/>
        <v>0</v>
      </c>
      <c r="S54" s="221">
        <f t="shared" si="31"/>
        <v>0</v>
      </c>
      <c r="T54" s="222">
        <f t="shared" si="34"/>
        <v>0</v>
      </c>
    </row>
    <row r="55" spans="1:20" ht="15.75" thickTop="1" x14ac:dyDescent="0.2">
      <c r="A55" s="495"/>
      <c r="C55" s="220"/>
      <c r="D55" s="220"/>
      <c r="E55" s="160"/>
      <c r="N55" s="219">
        <f t="shared" si="32"/>
        <v>2023</v>
      </c>
      <c r="O55" s="220">
        <f t="shared" si="33"/>
        <v>0</v>
      </c>
      <c r="P55" s="220">
        <f>IF($G$22&lt;=5,Q54,P54)</f>
        <v>0</v>
      </c>
      <c r="Q55" s="220">
        <f t="shared" si="30"/>
        <v>0</v>
      </c>
      <c r="S55" s="221">
        <f t="shared" si="31"/>
        <v>0</v>
      </c>
      <c r="T55" s="222">
        <f t="shared" si="34"/>
        <v>0</v>
      </c>
    </row>
    <row r="56" spans="1:20" x14ac:dyDescent="0.2">
      <c r="A56" s="176"/>
      <c r="E56" s="160"/>
      <c r="N56" s="219">
        <f t="shared" si="32"/>
        <v>2024</v>
      </c>
      <c r="O56" s="220">
        <f t="shared" si="33"/>
        <v>0</v>
      </c>
      <c r="P56" s="220">
        <f>IF($G$22&lt;=6,Q55,P55)</f>
        <v>0</v>
      </c>
      <c r="Q56" s="220">
        <f t="shared" si="30"/>
        <v>0</v>
      </c>
      <c r="S56" s="221">
        <f t="shared" si="31"/>
        <v>0</v>
      </c>
      <c r="T56" s="222">
        <f t="shared" si="34"/>
        <v>0</v>
      </c>
    </row>
    <row r="57" spans="1:20" ht="15.75" thickBot="1" x14ac:dyDescent="0.25">
      <c r="A57" s="252"/>
      <c r="B57" s="98"/>
      <c r="C57" s="224"/>
      <c r="D57" s="224"/>
      <c r="E57" s="253"/>
      <c r="N57" s="223">
        <f t="shared" si="32"/>
        <v>2025</v>
      </c>
      <c r="O57" s="224">
        <f t="shared" si="33"/>
        <v>0</v>
      </c>
      <c r="P57" s="224">
        <f>IF($G$22&lt;=7,Q56,P56)</f>
        <v>0</v>
      </c>
      <c r="Q57" s="224">
        <f t="shared" si="30"/>
        <v>0</v>
      </c>
      <c r="R57" s="98"/>
      <c r="S57" s="225">
        <f t="shared" si="31"/>
        <v>0</v>
      </c>
      <c r="T57" s="226">
        <f t="shared" si="34"/>
        <v>0</v>
      </c>
    </row>
    <row r="58" spans="1:20" ht="15.75" thickBot="1" x14ac:dyDescent="0.25"/>
    <row r="59" spans="1:20" x14ac:dyDescent="0.2">
      <c r="A59" s="261"/>
      <c r="N59" s="157" t="s">
        <v>219</v>
      </c>
      <c r="O59" s="158"/>
      <c r="P59" s="158"/>
      <c r="Q59" s="158"/>
      <c r="R59" s="158"/>
      <c r="S59" s="214"/>
      <c r="T59" s="159"/>
    </row>
    <row r="60" spans="1:20" ht="15" customHeight="1" x14ac:dyDescent="0.25">
      <c r="A60" s="261"/>
      <c r="N60" s="176"/>
      <c r="S60" s="215" t="s">
        <v>138</v>
      </c>
      <c r="T60" s="216" t="s">
        <v>138</v>
      </c>
    </row>
    <row r="61" spans="1:20" ht="15.75" x14ac:dyDescent="0.25">
      <c r="N61" s="217" t="s">
        <v>214</v>
      </c>
      <c r="O61" s="218" t="s">
        <v>210</v>
      </c>
      <c r="P61" s="218" t="s">
        <v>211</v>
      </c>
      <c r="Q61" s="218" t="s">
        <v>212</v>
      </c>
      <c r="S61" s="215" t="s">
        <v>237</v>
      </c>
      <c r="T61" s="216" t="s">
        <v>238</v>
      </c>
    </row>
    <row r="62" spans="1:20" x14ac:dyDescent="0.2">
      <c r="N62" s="219">
        <f>N51-1</f>
        <v>2018</v>
      </c>
      <c r="O62" s="220">
        <f>H26</f>
        <v>0</v>
      </c>
      <c r="P62" s="220">
        <f>ROUND(IF(O62=0,0,O62/H22),0)</f>
        <v>0</v>
      </c>
      <c r="Q62" s="220">
        <f t="shared" ref="Q62:Q68" si="35">O62-P62</f>
        <v>0</v>
      </c>
      <c r="S62" s="221">
        <f t="shared" ref="S62:S68" si="36">IF(Q62&gt;0,Q62,0)</f>
        <v>0</v>
      </c>
      <c r="T62" s="222">
        <f>IF(Q62&lt;0,Q62,0)</f>
        <v>0</v>
      </c>
    </row>
    <row r="63" spans="1:20" x14ac:dyDescent="0.2">
      <c r="N63" s="219">
        <f t="shared" ref="N63:N68" si="37">N62+1</f>
        <v>2019</v>
      </c>
      <c r="O63" s="220">
        <f t="shared" ref="O63:O68" si="38">Q62</f>
        <v>0</v>
      </c>
      <c r="P63" s="220">
        <f>IF($H$22&lt;=2,Q62,P62)</f>
        <v>0</v>
      </c>
      <c r="Q63" s="220">
        <f t="shared" si="35"/>
        <v>0</v>
      </c>
      <c r="S63" s="221">
        <f t="shared" si="36"/>
        <v>0</v>
      </c>
      <c r="T63" s="222">
        <f t="shared" ref="T63:T68" si="39">IF(Q63&lt;0,Q63,0)</f>
        <v>0</v>
      </c>
    </row>
    <row r="64" spans="1:20" x14ac:dyDescent="0.2">
      <c r="N64" s="219">
        <f t="shared" si="37"/>
        <v>2020</v>
      </c>
      <c r="O64" s="220">
        <f t="shared" si="38"/>
        <v>0</v>
      </c>
      <c r="P64" s="220">
        <f>IF($H$22&lt;=3,Q63,P63)</f>
        <v>0</v>
      </c>
      <c r="Q64" s="220">
        <f t="shared" si="35"/>
        <v>0</v>
      </c>
      <c r="S64" s="221">
        <f t="shared" si="36"/>
        <v>0</v>
      </c>
      <c r="T64" s="222">
        <f t="shared" si="39"/>
        <v>0</v>
      </c>
    </row>
    <row r="65" spans="1:20" ht="15.75" thickBot="1" x14ac:dyDescent="0.25">
      <c r="N65" s="219">
        <f t="shared" si="37"/>
        <v>2021</v>
      </c>
      <c r="O65" s="220">
        <f t="shared" si="38"/>
        <v>0</v>
      </c>
      <c r="P65" s="220">
        <f>IF($H$22&lt;=4,Q64,P64)</f>
        <v>0</v>
      </c>
      <c r="Q65" s="220">
        <f t="shared" si="35"/>
        <v>0</v>
      </c>
      <c r="S65" s="221">
        <f t="shared" si="36"/>
        <v>0</v>
      </c>
      <c r="T65" s="222">
        <f t="shared" si="39"/>
        <v>0</v>
      </c>
    </row>
    <row r="66" spans="1:20" ht="15.75" x14ac:dyDescent="0.25">
      <c r="A66" s="243" t="s">
        <v>396</v>
      </c>
      <c r="B66" s="158"/>
      <c r="C66" s="158"/>
      <c r="D66" s="158"/>
      <c r="E66" s="159"/>
      <c r="N66" s="219">
        <f t="shared" si="37"/>
        <v>2022</v>
      </c>
      <c r="O66" s="220">
        <f t="shared" si="38"/>
        <v>0</v>
      </c>
      <c r="P66" s="220">
        <f>IF($H$22&lt;=5,Q65,P65)</f>
        <v>0</v>
      </c>
      <c r="Q66" s="220">
        <f t="shared" si="35"/>
        <v>0</v>
      </c>
      <c r="S66" s="221">
        <f t="shared" si="36"/>
        <v>0</v>
      </c>
      <c r="T66" s="222">
        <f t="shared" si="39"/>
        <v>0</v>
      </c>
    </row>
    <row r="67" spans="1:20" x14ac:dyDescent="0.2">
      <c r="A67" s="244"/>
      <c r="B67" s="245"/>
      <c r="C67" s="256" t="s">
        <v>399</v>
      </c>
      <c r="D67" s="245"/>
      <c r="E67" s="160"/>
      <c r="N67" s="219">
        <f t="shared" si="37"/>
        <v>2023</v>
      </c>
      <c r="O67" s="220">
        <f t="shared" si="38"/>
        <v>0</v>
      </c>
      <c r="P67" s="220">
        <f>IF($H$22&lt;=6,Q66,P66)</f>
        <v>0</v>
      </c>
      <c r="Q67" s="220">
        <f t="shared" si="35"/>
        <v>0</v>
      </c>
      <c r="S67" s="221">
        <f t="shared" si="36"/>
        <v>0</v>
      </c>
      <c r="T67" s="222">
        <f t="shared" si="39"/>
        <v>0</v>
      </c>
    </row>
    <row r="68" spans="1:20" ht="15.75" thickBot="1" x14ac:dyDescent="0.25">
      <c r="A68" s="176"/>
      <c r="B68" s="245"/>
      <c r="C68" s="256" t="s">
        <v>400</v>
      </c>
      <c r="E68" s="160"/>
      <c r="N68" s="223">
        <f t="shared" si="37"/>
        <v>2024</v>
      </c>
      <c r="O68" s="224">
        <f t="shared" si="38"/>
        <v>0</v>
      </c>
      <c r="P68" s="224">
        <f>IF($H$22&lt;=7,Q67,P67)</f>
        <v>0</v>
      </c>
      <c r="Q68" s="224">
        <f t="shared" si="35"/>
        <v>0</v>
      </c>
      <c r="R68" s="98"/>
      <c r="S68" s="225">
        <f t="shared" si="36"/>
        <v>0</v>
      </c>
      <c r="T68" s="226">
        <f t="shared" si="39"/>
        <v>0</v>
      </c>
    </row>
    <row r="69" spans="1:20" ht="15.75" thickBot="1" x14ac:dyDescent="0.25">
      <c r="A69" s="244" t="s">
        <v>397</v>
      </c>
      <c r="B69" s="245"/>
      <c r="C69" s="257" t="s">
        <v>401</v>
      </c>
      <c r="D69" s="245"/>
      <c r="E69" s="160"/>
    </row>
    <row r="70" spans="1:20" x14ac:dyDescent="0.2">
      <c r="A70" s="248"/>
      <c r="B70" s="245"/>
      <c r="C70" s="254"/>
      <c r="D70" s="162"/>
      <c r="E70" s="160"/>
      <c r="N70" s="157" t="s">
        <v>220</v>
      </c>
      <c r="O70" s="158"/>
      <c r="P70" s="158"/>
      <c r="Q70" s="158"/>
      <c r="R70" s="158"/>
      <c r="S70" s="214"/>
      <c r="T70" s="159"/>
    </row>
    <row r="71" spans="1:20" ht="15.75" x14ac:dyDescent="0.25">
      <c r="A71" s="248">
        <f>N8+1</f>
        <v>2025</v>
      </c>
      <c r="B71" s="245"/>
      <c r="C71" s="162">
        <f>ROUND(P8+P20+P32+P44+P56+P68,0)</f>
        <v>0</v>
      </c>
      <c r="D71" s="162"/>
      <c r="E71" s="258"/>
      <c r="N71" s="176"/>
      <c r="S71" s="215" t="s">
        <v>138</v>
      </c>
      <c r="T71" s="216" t="s">
        <v>138</v>
      </c>
    </row>
    <row r="72" spans="1:20" ht="15.75" x14ac:dyDescent="0.25">
      <c r="A72" s="248">
        <f>N9+1</f>
        <v>2026</v>
      </c>
      <c r="B72" s="245"/>
      <c r="C72" s="162">
        <f>ROUND(P9+P21+P33+P45+P57,0)</f>
        <v>0</v>
      </c>
      <c r="D72" s="162"/>
      <c r="E72" s="160"/>
      <c r="N72" s="217" t="s">
        <v>214</v>
      </c>
      <c r="O72" s="218" t="s">
        <v>210</v>
      </c>
      <c r="P72" s="218" t="s">
        <v>211</v>
      </c>
      <c r="Q72" s="218" t="s">
        <v>212</v>
      </c>
      <c r="S72" s="215" t="s">
        <v>237</v>
      </c>
      <c r="T72" s="216" t="s">
        <v>238</v>
      </c>
    </row>
    <row r="73" spans="1:20" x14ac:dyDescent="0.2">
      <c r="A73" s="248">
        <f>N10+1</f>
        <v>2027</v>
      </c>
      <c r="B73" s="245"/>
      <c r="C73" s="162">
        <f>ROUND(P10+P22+P34+P46,0)</f>
        <v>0</v>
      </c>
      <c r="D73" s="162"/>
      <c r="E73" s="160"/>
      <c r="N73" s="219">
        <f>N62-1</f>
        <v>2017</v>
      </c>
      <c r="O73" s="220">
        <f>I26</f>
        <v>0</v>
      </c>
      <c r="P73" s="220">
        <f>ROUND(IF(O73=0,0,O73/I22),0)</f>
        <v>0</v>
      </c>
      <c r="Q73" s="220">
        <f t="shared" ref="Q73:Q79" si="40">O73-P73</f>
        <v>0</v>
      </c>
      <c r="S73" s="221">
        <f t="shared" ref="S73:S79" si="41">IF(Q73&gt;0,Q73,0)</f>
        <v>0</v>
      </c>
      <c r="T73" s="222">
        <f>IF(Q73&lt;0,Q73,0)</f>
        <v>0</v>
      </c>
    </row>
    <row r="74" spans="1:20" x14ac:dyDescent="0.2">
      <c r="A74" s="248">
        <f>N11+1</f>
        <v>2028</v>
      </c>
      <c r="B74" s="245"/>
      <c r="C74" s="162">
        <f>ROUND(P11+P23+P35,0)</f>
        <v>0</v>
      </c>
      <c r="D74" s="162"/>
      <c r="E74" s="160"/>
      <c r="N74" s="219">
        <f t="shared" ref="N74:N79" si="42">N73+1</f>
        <v>2018</v>
      </c>
      <c r="O74" s="220">
        <f t="shared" ref="O74:O79" si="43">Q73</f>
        <v>0</v>
      </c>
      <c r="P74" s="220">
        <f>IF($I$22&lt;=2,Q73,P73)</f>
        <v>0</v>
      </c>
      <c r="Q74" s="220">
        <f t="shared" si="40"/>
        <v>0</v>
      </c>
      <c r="S74" s="221">
        <f t="shared" si="41"/>
        <v>0</v>
      </c>
      <c r="T74" s="222">
        <f t="shared" ref="T74:T79" si="44">IF(Q74&lt;0,Q74,0)</f>
        <v>0</v>
      </c>
    </row>
    <row r="75" spans="1:20" x14ac:dyDescent="0.2">
      <c r="A75" s="248">
        <f>N12+1</f>
        <v>2029</v>
      </c>
      <c r="B75" s="245"/>
      <c r="C75" s="162">
        <f>ROUND(P12+P24+C80,0)</f>
        <v>0</v>
      </c>
      <c r="D75" s="162"/>
      <c r="E75" s="160"/>
      <c r="N75" s="219">
        <f t="shared" si="42"/>
        <v>2019</v>
      </c>
      <c r="O75" s="220">
        <f t="shared" si="43"/>
        <v>0</v>
      </c>
      <c r="P75" s="220">
        <f>IF($I$22&lt;=3,Q74,P74)</f>
        <v>0</v>
      </c>
      <c r="Q75" s="220">
        <f t="shared" si="40"/>
        <v>0</v>
      </c>
      <c r="S75" s="221">
        <f t="shared" si="41"/>
        <v>0</v>
      </c>
      <c r="T75" s="222">
        <f t="shared" si="44"/>
        <v>0</v>
      </c>
    </row>
    <row r="76" spans="1:20" x14ac:dyDescent="0.2">
      <c r="A76" s="248" t="s">
        <v>143</v>
      </c>
      <c r="C76" s="220">
        <f>P13</f>
        <v>0</v>
      </c>
      <c r="D76" s="220"/>
      <c r="E76" s="160"/>
      <c r="N76" s="219">
        <f t="shared" si="42"/>
        <v>2020</v>
      </c>
      <c r="O76" s="220">
        <f t="shared" si="43"/>
        <v>0</v>
      </c>
      <c r="P76" s="220">
        <f>IF($I$22&lt;=4,Q75,P75)</f>
        <v>0</v>
      </c>
      <c r="Q76" s="220">
        <f t="shared" si="40"/>
        <v>0</v>
      </c>
      <c r="S76" s="221">
        <f t="shared" si="41"/>
        <v>0</v>
      </c>
      <c r="T76" s="222">
        <f t="shared" si="44"/>
        <v>0</v>
      </c>
    </row>
    <row r="77" spans="1:20" ht="15.75" customHeight="1" thickBot="1" x14ac:dyDescent="0.25">
      <c r="A77" s="250"/>
      <c r="B77" s="245"/>
      <c r="C77" s="241">
        <f>SUM(C71:C76)</f>
        <v>0</v>
      </c>
      <c r="D77" s="220"/>
      <c r="E77" s="160"/>
      <c r="N77" s="219">
        <f t="shared" si="42"/>
        <v>2021</v>
      </c>
      <c r="O77" s="220">
        <f t="shared" si="43"/>
        <v>0</v>
      </c>
      <c r="P77" s="220">
        <f>IF($I$22&lt;=5,Q76,P76)</f>
        <v>0</v>
      </c>
      <c r="Q77" s="220">
        <f t="shared" si="40"/>
        <v>0</v>
      </c>
      <c r="S77" s="221">
        <f t="shared" si="41"/>
        <v>0</v>
      </c>
      <c r="T77" s="222">
        <f t="shared" si="44"/>
        <v>0</v>
      </c>
    </row>
    <row r="78" spans="1:20" ht="15.75" thickTop="1" x14ac:dyDescent="0.2">
      <c r="A78" s="250"/>
      <c r="C78" s="220"/>
      <c r="D78" s="220"/>
      <c r="E78" s="160"/>
      <c r="N78" s="219">
        <f t="shared" si="42"/>
        <v>2022</v>
      </c>
      <c r="O78" s="220">
        <f t="shared" si="43"/>
        <v>0</v>
      </c>
      <c r="P78" s="220">
        <f>IF($I$22&lt;=6,Q77,P77)</f>
        <v>0</v>
      </c>
      <c r="Q78" s="220">
        <f t="shared" si="40"/>
        <v>0</v>
      </c>
      <c r="S78" s="221">
        <f t="shared" si="41"/>
        <v>0</v>
      </c>
      <c r="T78" s="222">
        <f t="shared" si="44"/>
        <v>0</v>
      </c>
    </row>
    <row r="79" spans="1:20" ht="15.75" thickBot="1" x14ac:dyDescent="0.25">
      <c r="A79" s="248" t="s">
        <v>130</v>
      </c>
      <c r="C79" s="220">
        <f>E54-C77</f>
        <v>0</v>
      </c>
      <c r="E79" s="160"/>
      <c r="N79" s="223">
        <f t="shared" si="42"/>
        <v>2023</v>
      </c>
      <c r="O79" s="224">
        <f t="shared" si="43"/>
        <v>0</v>
      </c>
      <c r="P79" s="224">
        <f>IF($I$22&lt;=7,Q78,P78)</f>
        <v>0</v>
      </c>
      <c r="Q79" s="224">
        <f t="shared" si="40"/>
        <v>0</v>
      </c>
      <c r="R79" s="98"/>
      <c r="S79" s="225">
        <f t="shared" si="41"/>
        <v>0</v>
      </c>
      <c r="T79" s="226">
        <f t="shared" si="44"/>
        <v>0</v>
      </c>
    </row>
    <row r="80" spans="1:20" ht="15.75" thickBot="1" x14ac:dyDescent="0.25">
      <c r="A80" s="252" t="s">
        <v>338</v>
      </c>
      <c r="B80" s="98"/>
      <c r="C80" s="213">
        <v>0</v>
      </c>
      <c r="D80" s="224"/>
      <c r="E80" s="253"/>
    </row>
    <row r="81" spans="14:20" x14ac:dyDescent="0.2">
      <c r="N81" s="520"/>
      <c r="O81" s="521"/>
      <c r="P81" s="521"/>
      <c r="Q81" s="521"/>
      <c r="R81" s="521"/>
      <c r="S81" s="521"/>
      <c r="T81" s="521"/>
    </row>
    <row r="82" spans="14:20" ht="15.75" x14ac:dyDescent="0.25">
      <c r="N82" s="521"/>
      <c r="O82" s="521"/>
      <c r="P82" s="521"/>
      <c r="Q82" s="521"/>
      <c r="R82" s="521"/>
      <c r="S82" s="522"/>
      <c r="T82" s="522"/>
    </row>
    <row r="83" spans="14:20" ht="15.75" x14ac:dyDescent="0.25">
      <c r="N83" s="523"/>
      <c r="O83" s="523"/>
      <c r="P83" s="523"/>
      <c r="Q83" s="523"/>
      <c r="R83" s="521"/>
      <c r="S83" s="522"/>
      <c r="T83" s="522"/>
    </row>
    <row r="84" spans="14:20" x14ac:dyDescent="0.2">
      <c r="N84" s="524"/>
      <c r="O84" s="516"/>
      <c r="P84" s="516"/>
      <c r="Q84" s="516"/>
      <c r="R84" s="521"/>
      <c r="S84" s="516"/>
      <c r="T84" s="516"/>
    </row>
    <row r="85" spans="14:20" x14ac:dyDescent="0.2">
      <c r="N85" s="524"/>
      <c r="O85" s="516"/>
      <c r="P85" s="516"/>
      <c r="Q85" s="516"/>
      <c r="R85" s="521"/>
      <c r="S85" s="516"/>
      <c r="T85" s="516"/>
    </row>
    <row r="86" spans="14:20" x14ac:dyDescent="0.2">
      <c r="N86" s="524"/>
      <c r="O86" s="516"/>
      <c r="P86" s="516"/>
      <c r="Q86" s="516"/>
      <c r="R86" s="521"/>
      <c r="S86" s="516"/>
      <c r="T86" s="516"/>
    </row>
    <row r="87" spans="14:20" x14ac:dyDescent="0.2">
      <c r="N87" s="524"/>
      <c r="O87" s="516"/>
      <c r="P87" s="516"/>
      <c r="Q87" s="516"/>
      <c r="R87" s="521"/>
      <c r="S87" s="516"/>
      <c r="T87" s="516"/>
    </row>
    <row r="88" spans="14:20" x14ac:dyDescent="0.2">
      <c r="N88" s="524"/>
      <c r="O88" s="516"/>
      <c r="P88" s="516"/>
      <c r="Q88" s="516"/>
      <c r="R88" s="521"/>
      <c r="S88" s="516"/>
      <c r="T88" s="516"/>
    </row>
    <row r="89" spans="14:20" x14ac:dyDescent="0.2">
      <c r="N89" s="524"/>
      <c r="O89" s="516"/>
      <c r="P89" s="516"/>
      <c r="Q89" s="516"/>
      <c r="R89" s="521"/>
      <c r="S89" s="516"/>
      <c r="T89" s="516"/>
    </row>
    <row r="90" spans="14:20" x14ac:dyDescent="0.2">
      <c r="N90" s="524"/>
      <c r="O90" s="516"/>
      <c r="P90" s="516"/>
      <c r="Q90" s="516"/>
      <c r="R90" s="521"/>
      <c r="S90" s="516"/>
      <c r="T90" s="516"/>
    </row>
    <row r="91" spans="14:20" x14ac:dyDescent="0.2">
      <c r="N91" s="521"/>
      <c r="O91" s="521"/>
      <c r="P91" s="521"/>
      <c r="Q91" s="521"/>
      <c r="R91" s="521"/>
      <c r="S91" s="521"/>
      <c r="T91" s="521"/>
    </row>
    <row r="92" spans="14:20" x14ac:dyDescent="0.2">
      <c r="N92" s="520"/>
      <c r="O92" s="521"/>
      <c r="P92" s="521"/>
      <c r="Q92" s="521"/>
      <c r="R92" s="521"/>
      <c r="S92" s="521"/>
      <c r="T92" s="521"/>
    </row>
    <row r="93" spans="14:20" ht="15.75" x14ac:dyDescent="0.25">
      <c r="N93" s="521"/>
      <c r="O93" s="521"/>
      <c r="P93" s="521"/>
      <c r="Q93" s="521"/>
      <c r="R93" s="521"/>
      <c r="S93" s="522"/>
      <c r="T93" s="522"/>
    </row>
    <row r="94" spans="14:20" ht="15" customHeight="1" x14ac:dyDescent="0.25">
      <c r="N94" s="523"/>
      <c r="O94" s="523"/>
      <c r="P94" s="523"/>
      <c r="Q94" s="523"/>
      <c r="R94" s="521"/>
      <c r="S94" s="522"/>
      <c r="T94" s="522"/>
    </row>
    <row r="95" spans="14:20" x14ac:dyDescent="0.2">
      <c r="N95" s="524"/>
      <c r="O95" s="516"/>
      <c r="P95" s="516"/>
      <c r="Q95" s="516"/>
      <c r="R95" s="521"/>
      <c r="S95" s="516"/>
      <c r="T95" s="516"/>
    </row>
    <row r="96" spans="14:20" x14ac:dyDescent="0.2">
      <c r="N96" s="524"/>
      <c r="O96" s="516"/>
      <c r="P96" s="516"/>
      <c r="Q96" s="516"/>
      <c r="R96" s="521"/>
      <c r="S96" s="516"/>
      <c r="T96" s="516"/>
    </row>
    <row r="97" spans="14:20" x14ac:dyDescent="0.2">
      <c r="N97" s="524"/>
      <c r="O97" s="516"/>
      <c r="P97" s="516"/>
      <c r="Q97" s="516"/>
      <c r="R97" s="521"/>
      <c r="S97" s="516"/>
      <c r="T97" s="516"/>
    </row>
    <row r="98" spans="14:20" x14ac:dyDescent="0.2">
      <c r="N98" s="524"/>
      <c r="O98" s="516"/>
      <c r="P98" s="516"/>
      <c r="Q98" s="516"/>
      <c r="R98" s="521"/>
      <c r="S98" s="516"/>
      <c r="T98" s="516"/>
    </row>
    <row r="99" spans="14:20" x14ac:dyDescent="0.2">
      <c r="N99" s="524"/>
      <c r="O99" s="516"/>
      <c r="P99" s="516"/>
      <c r="Q99" s="516"/>
      <c r="R99" s="521"/>
      <c r="S99" s="516"/>
      <c r="T99" s="516"/>
    </row>
    <row r="100" spans="14:20" x14ac:dyDescent="0.2">
      <c r="N100" s="524"/>
      <c r="O100" s="516"/>
      <c r="P100" s="516"/>
      <c r="Q100" s="516"/>
      <c r="R100" s="521"/>
      <c r="S100" s="516"/>
      <c r="T100" s="516"/>
    </row>
    <row r="101" spans="14:20" x14ac:dyDescent="0.2">
      <c r="N101" s="524"/>
      <c r="O101" s="516"/>
      <c r="P101" s="516"/>
      <c r="Q101" s="516"/>
      <c r="R101" s="521"/>
      <c r="S101" s="516"/>
      <c r="T101" s="516"/>
    </row>
    <row r="102" spans="14:20" x14ac:dyDescent="0.2">
      <c r="N102" s="521"/>
      <c r="O102" s="521"/>
      <c r="P102" s="521"/>
      <c r="Q102" s="521"/>
      <c r="R102" s="521"/>
      <c r="S102" s="521"/>
      <c r="T102" s="521"/>
    </row>
    <row r="103" spans="14:20" x14ac:dyDescent="0.2">
      <c r="N103" s="520"/>
      <c r="O103" s="521"/>
      <c r="P103" s="521"/>
      <c r="Q103" s="521"/>
      <c r="R103" s="521"/>
      <c r="S103" s="521"/>
      <c r="T103" s="521"/>
    </row>
    <row r="104" spans="14:20" ht="15.75" x14ac:dyDescent="0.25">
      <c r="N104" s="521"/>
      <c r="O104" s="521"/>
      <c r="P104" s="521"/>
      <c r="Q104" s="521"/>
      <c r="R104" s="521"/>
      <c r="S104" s="522"/>
      <c r="T104" s="522"/>
    </row>
    <row r="105" spans="14:20" ht="15.75" x14ac:dyDescent="0.25">
      <c r="N105" s="523"/>
      <c r="O105" s="523"/>
      <c r="P105" s="523"/>
      <c r="Q105" s="523"/>
      <c r="R105" s="521"/>
      <c r="S105" s="522"/>
      <c r="T105" s="522"/>
    </row>
    <row r="106" spans="14:20" x14ac:dyDescent="0.2">
      <c r="N106" s="524"/>
      <c r="O106" s="516"/>
      <c r="P106" s="516"/>
      <c r="Q106" s="516"/>
      <c r="R106" s="521"/>
      <c r="S106" s="516"/>
      <c r="T106" s="516"/>
    </row>
    <row r="107" spans="14:20" x14ac:dyDescent="0.2">
      <c r="N107" s="524"/>
      <c r="O107" s="516"/>
      <c r="P107" s="516"/>
      <c r="Q107" s="516"/>
      <c r="R107" s="521"/>
      <c r="S107" s="516"/>
      <c r="T107" s="516"/>
    </row>
    <row r="108" spans="14:20" x14ac:dyDescent="0.2">
      <c r="N108" s="524"/>
      <c r="O108" s="516"/>
      <c r="P108" s="516"/>
      <c r="Q108" s="516"/>
      <c r="R108" s="521"/>
      <c r="S108" s="516"/>
      <c r="T108" s="516"/>
    </row>
    <row r="109" spans="14:20" x14ac:dyDescent="0.2">
      <c r="N109" s="524"/>
      <c r="O109" s="516"/>
      <c r="P109" s="516"/>
      <c r="Q109" s="516"/>
      <c r="R109" s="521"/>
      <c r="S109" s="516"/>
      <c r="T109" s="516"/>
    </row>
    <row r="110" spans="14:20" x14ac:dyDescent="0.2">
      <c r="N110" s="524"/>
      <c r="O110" s="516"/>
      <c r="P110" s="516"/>
      <c r="Q110" s="516"/>
      <c r="R110" s="521"/>
      <c r="S110" s="516"/>
      <c r="T110" s="516"/>
    </row>
    <row r="111" spans="14:20" x14ac:dyDescent="0.2">
      <c r="N111" s="524"/>
      <c r="O111" s="516"/>
      <c r="P111" s="516"/>
      <c r="Q111" s="516"/>
      <c r="R111" s="521"/>
      <c r="S111" s="516"/>
      <c r="T111" s="516"/>
    </row>
    <row r="112" spans="14:20" x14ac:dyDescent="0.2">
      <c r="N112" s="524"/>
      <c r="O112" s="516"/>
      <c r="P112" s="516"/>
      <c r="Q112" s="516"/>
      <c r="R112" s="521"/>
      <c r="S112" s="516"/>
      <c r="T112" s="516"/>
    </row>
  </sheetData>
  <sheetProtection algorithmName="SHA-512" hashValue="ucTUWEvxTsJssOiQhs8ubtvnPquRXWtTO6imS3S/qDJg1E5D4Jka3ccKHfUuesfMjIQuaixAs/UO3TV2kC0DMQ==" saltValue="EZD1ZdenLzQDHTtL4JukPw==" spinCount="100000" sheet="1" objects="1" scenarios="1"/>
  <mergeCells count="7">
    <mergeCell ref="A54:A55"/>
    <mergeCell ref="N2:T2"/>
    <mergeCell ref="E45:E46"/>
    <mergeCell ref="A38:A39"/>
    <mergeCell ref="C45:C46"/>
    <mergeCell ref="D45:D46"/>
    <mergeCell ref="C13:L13"/>
  </mergeCells>
  <pageMargins left="0.7" right="0.7" top="0.75" bottom="0.75" header="0.3" footer="0.3"/>
  <pageSetup orientation="portrait" r:id="rId1"/>
  <cellWatches>
    <cellWatch r="C79"/>
  </cellWatche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7030A0"/>
  </sheetPr>
  <dimension ref="B1:AD57"/>
  <sheetViews>
    <sheetView zoomScale="70" zoomScaleNormal="70" workbookViewId="0">
      <selection activeCell="E31" sqref="E31"/>
    </sheetView>
  </sheetViews>
  <sheetFormatPr defaultColWidth="8.88671875" defaultRowHeight="15" x14ac:dyDescent="0.2"/>
  <cols>
    <col min="1" max="1" width="0.5546875" customWidth="1"/>
    <col min="2" max="2" width="26.44140625" customWidth="1"/>
    <col min="3" max="3" width="16.33203125" customWidth="1"/>
    <col min="4" max="4" width="2.77734375" customWidth="1"/>
    <col min="5" max="5" width="14.77734375" customWidth="1"/>
    <col min="6" max="6" width="2.6640625" customWidth="1"/>
    <col min="7" max="7" width="15.33203125" customWidth="1"/>
    <col min="8" max="8" width="2.6640625" customWidth="1"/>
    <col min="9" max="9" width="14.77734375" customWidth="1"/>
    <col min="10" max="10" width="2.5546875" customWidth="1"/>
    <col min="11" max="11" width="14.77734375" customWidth="1"/>
    <col min="12" max="12" width="2.77734375" customWidth="1"/>
    <col min="13" max="13" width="14.77734375" customWidth="1"/>
    <col min="14" max="14" width="2.77734375" customWidth="1"/>
    <col min="15" max="15" width="14.77734375" customWidth="1"/>
    <col min="16" max="16" width="2.77734375" customWidth="1"/>
    <col min="17" max="17" width="15.5546875" hidden="1" customWidth="1"/>
    <col min="18" max="18" width="2.77734375" hidden="1" customWidth="1"/>
    <col min="19" max="19" width="16.88671875" customWidth="1"/>
    <col min="20" max="20" width="2" customWidth="1"/>
    <col min="21" max="21" width="16.88671875" hidden="1" customWidth="1"/>
    <col min="22" max="22" width="2.77734375" hidden="1" customWidth="1"/>
    <col min="23" max="23" width="15.5546875" bestFit="1" customWidth="1"/>
    <col min="24" max="24" width="2.77734375" customWidth="1"/>
    <col min="25" max="25" width="14.77734375" customWidth="1"/>
    <col min="26" max="26" width="2.77734375" customWidth="1"/>
    <col min="27" max="27" width="14.77734375" customWidth="1"/>
    <col min="28" max="28" width="2.77734375" customWidth="1"/>
    <col min="29" max="29" width="14.77734375" customWidth="1"/>
    <col min="30" max="30" width="2.33203125" customWidth="1"/>
  </cols>
  <sheetData>
    <row r="1" spans="2:13" ht="18" x14ac:dyDescent="0.25">
      <c r="B1" s="27" t="s">
        <v>479</v>
      </c>
      <c r="G1" s="20" t="s">
        <v>18</v>
      </c>
    </row>
    <row r="2" spans="2:13" ht="18" x14ac:dyDescent="0.25">
      <c r="B2" s="23"/>
      <c r="G2" s="20" t="str">
        <f>'Change in Proportion - MCVCs'!C2</f>
        <v>Password for protected sheet: BOE2024</v>
      </c>
    </row>
    <row r="3" spans="2:13" ht="15" customHeight="1" thickBot="1" x14ac:dyDescent="0.25">
      <c r="B3" s="23"/>
    </row>
    <row r="4" spans="2:13" ht="45.6" customHeight="1" x14ac:dyDescent="0.2">
      <c r="B4" s="214"/>
      <c r="C4" s="158"/>
      <c r="D4" s="158"/>
      <c r="E4" s="158"/>
      <c r="F4" s="158"/>
      <c r="G4" s="496" t="s">
        <v>176</v>
      </c>
      <c r="H4" s="158"/>
      <c r="I4" s="496" t="s">
        <v>426</v>
      </c>
      <c r="J4" s="158"/>
      <c r="K4" s="498" t="s">
        <v>429</v>
      </c>
    </row>
    <row r="5" spans="2:13" ht="15" customHeight="1" x14ac:dyDescent="0.2">
      <c r="B5" s="176"/>
      <c r="G5" s="497"/>
      <c r="I5" s="497"/>
      <c r="K5" s="499"/>
    </row>
    <row r="6" spans="2:13" ht="15" customHeight="1" x14ac:dyDescent="0.2">
      <c r="B6" s="176"/>
      <c r="G6" s="497"/>
      <c r="I6" s="497"/>
      <c r="K6" s="499"/>
    </row>
    <row r="7" spans="2:13" ht="15" customHeight="1" x14ac:dyDescent="0.2">
      <c r="B7" s="176"/>
      <c r="G7" s="497"/>
      <c r="I7" s="497"/>
      <c r="K7" s="499"/>
    </row>
    <row r="8" spans="2:13" ht="15" customHeight="1" x14ac:dyDescent="0.2">
      <c r="B8" s="176"/>
      <c r="G8" s="497"/>
      <c r="I8" s="497"/>
      <c r="K8" s="499"/>
    </row>
    <row r="9" spans="2:13" ht="15" customHeight="1" x14ac:dyDescent="0.2">
      <c r="B9" s="176"/>
      <c r="G9" s="497"/>
      <c r="I9" s="497"/>
      <c r="K9" s="499"/>
    </row>
    <row r="10" spans="2:13" x14ac:dyDescent="0.2">
      <c r="B10" s="176"/>
      <c r="K10" s="160"/>
    </row>
    <row r="11" spans="2:13" ht="15.75" x14ac:dyDescent="0.25">
      <c r="B11" s="97" t="s">
        <v>553</v>
      </c>
      <c r="K11" s="160"/>
    </row>
    <row r="12" spans="2:13" ht="15.75" x14ac:dyDescent="0.2">
      <c r="B12" s="105" t="s">
        <v>19</v>
      </c>
      <c r="G12" s="102">
        <f>'GASB 68 Sch Input CY'!B33</f>
        <v>0</v>
      </c>
      <c r="I12" s="102">
        <f>'MCVC Proportion'!G8</f>
        <v>0</v>
      </c>
      <c r="K12" s="386">
        <f>G12-I12</f>
        <v>0</v>
      </c>
      <c r="M12" s="100"/>
    </row>
    <row r="13" spans="2:13" ht="16.5" thickBot="1" x14ac:dyDescent="0.25">
      <c r="B13" s="106" t="s">
        <v>20</v>
      </c>
      <c r="C13" s="98"/>
      <c r="D13" s="98"/>
      <c r="E13" s="98"/>
      <c r="F13" s="98"/>
      <c r="G13" s="103">
        <f>'GASB 68 Sch Input CY'!F33</f>
        <v>0</v>
      </c>
      <c r="H13" s="98"/>
      <c r="I13" s="103">
        <f>'MCVC Proportion'!G12</f>
        <v>0</v>
      </c>
      <c r="J13" s="98"/>
      <c r="K13" s="387">
        <f>G13-I13</f>
        <v>0</v>
      </c>
      <c r="M13" s="100"/>
    </row>
    <row r="14" spans="2:13" ht="4.5" customHeight="1" x14ac:dyDescent="0.2">
      <c r="J14" s="263"/>
    </row>
    <row r="15" spans="2:13" ht="14.25" customHeight="1" x14ac:dyDescent="0.2">
      <c r="B15" s="23"/>
    </row>
    <row r="16" spans="2:13" ht="4.5" customHeight="1" thickBot="1" x14ac:dyDescent="0.25">
      <c r="B16" s="23"/>
    </row>
    <row r="17" spans="2:30" ht="18.75" x14ac:dyDescent="0.3">
      <c r="B17" s="471" t="s">
        <v>167</v>
      </c>
      <c r="C17" s="472"/>
      <c r="D17" s="472"/>
      <c r="E17" s="472"/>
      <c r="F17" s="472"/>
      <c r="G17" s="472"/>
      <c r="H17" s="472"/>
      <c r="I17" s="472"/>
      <c r="J17" s="472"/>
      <c r="K17" s="472"/>
      <c r="L17" s="472"/>
      <c r="M17" s="472"/>
      <c r="N17" s="472"/>
      <c r="O17" s="472"/>
      <c r="P17" s="472"/>
      <c r="Q17" s="472"/>
      <c r="R17" s="472"/>
      <c r="S17" s="472"/>
      <c r="T17" s="472"/>
      <c r="U17" s="472"/>
      <c r="V17" s="472"/>
      <c r="W17" s="472"/>
      <c r="X17" s="472"/>
      <c r="Y17" s="472"/>
      <c r="Z17" s="472"/>
      <c r="AA17" s="472"/>
      <c r="AB17" s="472"/>
      <c r="AC17" s="472"/>
      <c r="AD17" s="473"/>
    </row>
    <row r="18" spans="2:30" ht="18.75" x14ac:dyDescent="0.3">
      <c r="B18" s="468" t="s">
        <v>168</v>
      </c>
      <c r="C18" s="469"/>
      <c r="D18" s="469"/>
      <c r="E18" s="469"/>
      <c r="F18" s="469"/>
      <c r="G18" s="469"/>
      <c r="H18" s="469"/>
      <c r="I18" s="469"/>
      <c r="J18" s="469"/>
      <c r="K18" s="469"/>
      <c r="L18" s="469"/>
      <c r="M18" s="469"/>
      <c r="N18" s="469"/>
      <c r="O18" s="469"/>
      <c r="P18" s="469"/>
      <c r="Q18" s="469"/>
      <c r="R18" s="469"/>
      <c r="S18" s="469"/>
      <c r="T18" s="469"/>
      <c r="U18" s="469"/>
      <c r="V18" s="469"/>
      <c r="W18" s="469"/>
      <c r="X18" s="469"/>
      <c r="Y18" s="469"/>
      <c r="Z18" s="469"/>
      <c r="AA18" s="469"/>
      <c r="AB18" s="469"/>
      <c r="AC18" s="469"/>
      <c r="AD18" s="470"/>
    </row>
    <row r="19" spans="2:30" ht="18.75" x14ac:dyDescent="0.3">
      <c r="B19" s="468" t="s">
        <v>538</v>
      </c>
      <c r="C19" s="469"/>
      <c r="D19" s="469"/>
      <c r="E19" s="469"/>
      <c r="F19" s="469"/>
      <c r="G19" s="469"/>
      <c r="H19" s="469"/>
      <c r="I19" s="469"/>
      <c r="J19" s="469"/>
      <c r="K19" s="469"/>
      <c r="L19" s="469"/>
      <c r="M19" s="469"/>
      <c r="N19" s="469"/>
      <c r="O19" s="469"/>
      <c r="P19" s="469"/>
      <c r="Q19" s="469"/>
      <c r="R19" s="469"/>
      <c r="S19" s="469"/>
      <c r="T19" s="469"/>
      <c r="U19" s="469"/>
      <c r="V19" s="469"/>
      <c r="W19" s="469"/>
      <c r="X19" s="469"/>
      <c r="Y19" s="469"/>
      <c r="Z19" s="469"/>
      <c r="AA19" s="469"/>
      <c r="AB19" s="469"/>
      <c r="AC19" s="469"/>
      <c r="AD19" s="470"/>
    </row>
    <row r="20" spans="2:30" ht="15.75" thickBot="1" x14ac:dyDescent="0.25">
      <c r="B20" s="176"/>
      <c r="E20" s="177"/>
      <c r="F20" s="177"/>
      <c r="G20" s="177"/>
      <c r="H20" s="177"/>
      <c r="I20" s="177"/>
      <c r="J20" s="177"/>
      <c r="K20" s="177"/>
      <c r="AD20" s="160"/>
    </row>
    <row r="21" spans="2:30" ht="33.75" customHeight="1" thickBot="1" x14ac:dyDescent="0.3">
      <c r="B21" s="176"/>
      <c r="C21" s="178"/>
      <c r="D21" s="178"/>
      <c r="E21" s="500" t="s">
        <v>11</v>
      </c>
      <c r="F21" s="501"/>
      <c r="G21" s="501"/>
      <c r="H21" s="501"/>
      <c r="I21" s="501"/>
      <c r="J21" s="501"/>
      <c r="K21" s="501"/>
      <c r="L21" s="501"/>
      <c r="M21" s="502"/>
      <c r="N21" s="179"/>
      <c r="O21" s="500" t="s">
        <v>12</v>
      </c>
      <c r="P21" s="501"/>
      <c r="Q21" s="501"/>
      <c r="R21" s="501"/>
      <c r="S21" s="501"/>
      <c r="T21" s="501"/>
      <c r="U21" s="501"/>
      <c r="V21" s="501"/>
      <c r="W21" s="502"/>
      <c r="Y21" s="503" t="s">
        <v>356</v>
      </c>
      <c r="Z21" s="504"/>
      <c r="AA21" s="504"/>
      <c r="AB21" s="504"/>
      <c r="AC21" s="505"/>
      <c r="AD21" s="160"/>
    </row>
    <row r="22" spans="2:30" ht="184.5" customHeight="1" thickBot="1" x14ac:dyDescent="0.35">
      <c r="B22" s="180" t="s">
        <v>169</v>
      </c>
      <c r="C22" s="202" t="s">
        <v>170</v>
      </c>
      <c r="D22" s="188"/>
      <c r="E22" s="202" t="s">
        <v>355</v>
      </c>
      <c r="F22" s="187"/>
      <c r="G22" s="202" t="s">
        <v>353</v>
      </c>
      <c r="H22" s="187"/>
      <c r="I22" s="202" t="s">
        <v>354</v>
      </c>
      <c r="J22" s="187"/>
      <c r="K22" s="202" t="s">
        <v>546</v>
      </c>
      <c r="L22" s="189"/>
      <c r="M22" s="202" t="s">
        <v>171</v>
      </c>
      <c r="N22" s="189"/>
      <c r="O22" s="202" t="s">
        <v>355</v>
      </c>
      <c r="P22" s="189"/>
      <c r="Q22" s="202" t="s">
        <v>353</v>
      </c>
      <c r="R22" s="187"/>
      <c r="S22" s="202" t="s">
        <v>354</v>
      </c>
      <c r="T22" s="187"/>
      <c r="U22" s="202" t="s">
        <v>455</v>
      </c>
      <c r="V22" s="187"/>
      <c r="W22" s="202" t="s">
        <v>172</v>
      </c>
      <c r="X22" s="189"/>
      <c r="Y22" s="202" t="s">
        <v>173</v>
      </c>
      <c r="Z22" s="189"/>
      <c r="AA22" s="202" t="s">
        <v>357</v>
      </c>
      <c r="AB22" s="190"/>
      <c r="AC22" s="202" t="s">
        <v>543</v>
      </c>
      <c r="AD22" s="186"/>
    </row>
    <row r="23" spans="2:30" ht="18.75" x14ac:dyDescent="0.3">
      <c r="B23" s="180"/>
      <c r="C23" s="187"/>
      <c r="D23" s="188"/>
      <c r="E23" s="187"/>
      <c r="F23" s="187"/>
      <c r="G23" s="187"/>
      <c r="H23" s="187"/>
      <c r="I23" s="187"/>
      <c r="J23" s="187"/>
      <c r="K23" s="187"/>
      <c r="L23" s="189"/>
      <c r="M23" s="187"/>
      <c r="N23" s="189"/>
      <c r="O23" s="187"/>
      <c r="P23" s="189"/>
      <c r="Q23" s="187"/>
      <c r="R23" s="187"/>
      <c r="S23" s="187"/>
      <c r="T23" s="187"/>
      <c r="U23" s="187"/>
      <c r="V23" s="187"/>
      <c r="W23" s="187"/>
      <c r="X23" s="189"/>
      <c r="Y23" s="187"/>
      <c r="Z23" s="189"/>
      <c r="AA23" s="187"/>
      <c r="AB23" s="190"/>
      <c r="AC23" s="187"/>
      <c r="AD23" s="186"/>
    </row>
    <row r="24" spans="2:30" ht="15.75" x14ac:dyDescent="0.25">
      <c r="B24" s="193" t="s">
        <v>175</v>
      </c>
      <c r="C24" s="421">
        <f>'GASB 68 Sch Input CY'!B21</f>
        <v>2289406000</v>
      </c>
      <c r="D24" s="421"/>
      <c r="E24" s="421">
        <f>'GASB 68 Sch Input CY'!F21</f>
        <v>83573000</v>
      </c>
      <c r="F24" s="421"/>
      <c r="G24" s="421">
        <f>'GASB 68 Sch Input CY'!H21</f>
        <v>40325000</v>
      </c>
      <c r="H24" s="421"/>
      <c r="I24" s="421">
        <f>'GASB 68 Sch Input CY'!J21</f>
        <v>88677968</v>
      </c>
      <c r="J24" s="421"/>
      <c r="K24" s="421">
        <f>'GASB 68 Sch Input CY'!L21</f>
        <v>96618000</v>
      </c>
      <c r="L24" s="421"/>
      <c r="M24" s="421">
        <f>SUM(E24:K24)</f>
        <v>309193968</v>
      </c>
      <c r="N24" s="421"/>
      <c r="O24" s="421">
        <f>'GASB 68 Sch Input CY'!R21</f>
        <v>5753000</v>
      </c>
      <c r="P24" s="421"/>
      <c r="Q24" s="421">
        <f>'GASB 68 Sch Input CY'!T21</f>
        <v>0</v>
      </c>
      <c r="R24" s="421"/>
      <c r="S24" s="421">
        <f>'GASB 68 Sch Input CY'!V21</f>
        <v>88677968</v>
      </c>
      <c r="T24" s="421"/>
      <c r="U24" s="421">
        <f>'GASB 68 Sch Input CY'!X21</f>
        <v>0</v>
      </c>
      <c r="V24" s="421"/>
      <c r="W24" s="421">
        <f>SUM(O24:U24)</f>
        <v>94430968</v>
      </c>
      <c r="X24" s="421"/>
      <c r="Y24" s="421">
        <f>'GASB 68 Sch Input CY'!AB21</f>
        <v>290568000</v>
      </c>
      <c r="Z24" s="421"/>
      <c r="AA24" s="421">
        <f>'GASB 68 Sch Input CY'!AD21</f>
        <v>0</v>
      </c>
      <c r="AB24" s="421"/>
      <c r="AC24" s="421">
        <f>Y24+AA24</f>
        <v>290568000</v>
      </c>
      <c r="AD24" s="264"/>
    </row>
    <row r="25" spans="2:30" x14ac:dyDescent="0.2">
      <c r="B25" s="194"/>
      <c r="C25" s="195"/>
      <c r="D25" s="195"/>
      <c r="E25" s="196"/>
      <c r="F25" s="196"/>
      <c r="G25" s="195"/>
      <c r="H25" s="196"/>
      <c r="I25" s="196"/>
      <c r="J25" s="196"/>
      <c r="K25" s="196"/>
      <c r="L25" s="195"/>
      <c r="M25" s="195"/>
      <c r="N25" s="195"/>
      <c r="O25" s="195"/>
      <c r="P25" s="195"/>
      <c r="Q25" s="195"/>
      <c r="R25" s="195"/>
      <c r="S25" s="195"/>
      <c r="T25" s="195"/>
      <c r="U25" s="195"/>
      <c r="V25" s="195"/>
      <c r="W25" s="195"/>
      <c r="X25" s="195"/>
      <c r="Y25" s="195"/>
      <c r="Z25" s="195"/>
      <c r="AA25" s="195"/>
      <c r="AB25" s="195"/>
      <c r="AC25" s="195"/>
      <c r="AD25" s="197"/>
    </row>
    <row r="26" spans="2:30" ht="15.75" x14ac:dyDescent="0.25">
      <c r="B26" s="193"/>
      <c r="C26" s="195"/>
      <c r="D26" s="195"/>
      <c r="E26" s="196"/>
      <c r="F26" s="196"/>
      <c r="G26" s="195"/>
      <c r="H26" s="196"/>
      <c r="I26" s="196"/>
      <c r="J26" s="196"/>
      <c r="K26" s="196"/>
      <c r="L26" s="195"/>
      <c r="M26" s="195"/>
      <c r="N26" s="195"/>
      <c r="O26" s="195"/>
      <c r="P26" s="195"/>
      <c r="Q26" s="195"/>
      <c r="R26" s="195"/>
      <c r="S26" s="195"/>
      <c r="T26" s="195"/>
      <c r="U26" s="195"/>
      <c r="V26" s="195"/>
      <c r="W26" s="195"/>
      <c r="X26" s="195"/>
      <c r="Y26" s="195"/>
      <c r="Z26" s="195"/>
      <c r="AA26" s="195"/>
      <c r="AB26" s="195"/>
      <c r="AC26" s="195"/>
      <c r="AD26" s="197"/>
    </row>
    <row r="27" spans="2:30" s="93" customFormat="1" ht="31.5" x14ac:dyDescent="0.25">
      <c r="B27" s="422" t="s">
        <v>234</v>
      </c>
      <c r="C27" s="423">
        <f>'GASB 68 Sch Input CY'!B16</f>
        <v>0</v>
      </c>
      <c r="D27" s="100"/>
      <c r="E27" s="423">
        <f>'GASB 68 Sch Input CY'!F16</f>
        <v>0</v>
      </c>
      <c r="F27" s="424"/>
      <c r="G27" s="423">
        <f>IF('GASB 68 Sch Input CY'!H16-'GASB 68 Sch Input CY'!T16&gt;=0,'GASB 68 Sch Input CY'!H16-'GASB 68 Sch Input CY'!T16,0)</f>
        <v>0</v>
      </c>
      <c r="H27" s="424"/>
      <c r="I27" s="423">
        <f>'GASB 68 Sch Input CY'!J16</f>
        <v>0</v>
      </c>
      <c r="J27" s="423"/>
      <c r="K27" s="423">
        <f>'GASB 68 Sch Input CY'!L16</f>
        <v>0</v>
      </c>
      <c r="L27" s="100"/>
      <c r="M27" s="423">
        <f>SUM(E27:K27)</f>
        <v>0</v>
      </c>
      <c r="N27" s="423"/>
      <c r="O27" s="423">
        <f>'GASB 68 Sch Input CY'!R16</f>
        <v>0</v>
      </c>
      <c r="P27" s="100"/>
      <c r="Q27" s="423">
        <f>IF('GASB 68 Sch Input CY'!H16-'GASB 68 Sch Input CY'!T16&lt;=0,'GASB 68 Sch Input CY'!T16-'GASB 68 Sch Input CY'!H16,0)</f>
        <v>0</v>
      </c>
      <c r="R27" s="100"/>
      <c r="S27" s="423">
        <f>'GASB 68 Sch Input CY'!V16</f>
        <v>0</v>
      </c>
      <c r="T27" s="423"/>
      <c r="U27" s="423">
        <f>'GASB 68 Sch Input CY'!X16</f>
        <v>0</v>
      </c>
      <c r="V27" s="100"/>
      <c r="W27" s="423">
        <f>SUM(O27:U27)</f>
        <v>0</v>
      </c>
      <c r="X27" s="423"/>
      <c r="Y27" s="423">
        <f>'GASB 68 Sch Input CY'!AB16</f>
        <v>0</v>
      </c>
      <c r="Z27" s="100"/>
      <c r="AA27" s="423">
        <f>'GASB 68 Sch Input CY'!AD16</f>
        <v>0</v>
      </c>
      <c r="AB27" s="100"/>
      <c r="AC27" s="423">
        <f>Y27+AA27</f>
        <v>0</v>
      </c>
      <c r="AD27" s="101"/>
    </row>
    <row r="28" spans="2:30" x14ac:dyDescent="0.2">
      <c r="B28" s="176"/>
      <c r="AD28" s="160"/>
    </row>
    <row r="29" spans="2:30" s="268" customFormat="1" ht="15.75" x14ac:dyDescent="0.2">
      <c r="B29" s="265" t="s">
        <v>426</v>
      </c>
      <c r="C29" s="266">
        <f>C24*$I$13</f>
        <v>0</v>
      </c>
      <c r="D29" s="100"/>
      <c r="E29" s="266">
        <f>IF('GASB 68 Sch Input CY'!N16-'GASB 68 Sch Input CY'!T16&gt;=0,(E24-Q24)*I13,0)</f>
        <v>0</v>
      </c>
      <c r="F29" s="266"/>
      <c r="G29" s="266">
        <f>G24*$I$13</f>
        <v>0</v>
      </c>
      <c r="H29" s="266"/>
      <c r="I29" s="267">
        <f>'Change in Proportion - MCVCs'!C54</f>
        <v>0</v>
      </c>
      <c r="J29" s="267"/>
      <c r="K29" s="266">
        <f>K24*$I$13</f>
        <v>0</v>
      </c>
      <c r="L29" s="100"/>
      <c r="M29" s="266">
        <f>SUM(E29:K29)</f>
        <v>0</v>
      </c>
      <c r="N29" s="266"/>
      <c r="O29" s="266">
        <f>O24*$I$13</f>
        <v>0</v>
      </c>
      <c r="P29" s="100"/>
      <c r="Q29" s="266">
        <f>Q24*$I$13</f>
        <v>0</v>
      </c>
      <c r="R29" s="100"/>
      <c r="S29" s="267">
        <f>-'Change in Proportion - MCVCs'!D54</f>
        <v>0</v>
      </c>
      <c r="T29" s="267"/>
      <c r="U29" s="266">
        <f>U24*$I$13</f>
        <v>0</v>
      </c>
      <c r="V29" s="100"/>
      <c r="W29" s="266">
        <f>SUM(O29:U29)</f>
        <v>0</v>
      </c>
      <c r="X29" s="266"/>
      <c r="Y29" s="266">
        <f>Y24*$I$13</f>
        <v>0</v>
      </c>
      <c r="Z29" s="100"/>
      <c r="AA29" s="267">
        <f>'Change in Proportion - MCVCs'!C38</f>
        <v>0</v>
      </c>
      <c r="AB29" s="100"/>
      <c r="AC29" s="266">
        <f>Y29+AA29</f>
        <v>0</v>
      </c>
      <c r="AD29" s="101"/>
    </row>
    <row r="30" spans="2:30" s="268" customFormat="1" ht="15.75" x14ac:dyDescent="0.2">
      <c r="B30" s="269"/>
      <c r="C30" s="266"/>
      <c r="D30" s="100"/>
      <c r="E30" s="266"/>
      <c r="F30" s="266"/>
      <c r="G30" s="266"/>
      <c r="H30" s="266"/>
      <c r="I30" s="266"/>
      <c r="J30" s="266"/>
      <c r="K30" s="266"/>
      <c r="L30" s="100"/>
      <c r="M30" s="266"/>
      <c r="N30" s="266"/>
      <c r="O30" s="266"/>
      <c r="P30" s="100"/>
      <c r="Q30" s="266"/>
      <c r="R30" s="100"/>
      <c r="S30" s="100"/>
      <c r="T30" s="100"/>
      <c r="U30" s="100"/>
      <c r="V30" s="100"/>
      <c r="W30" s="266"/>
      <c r="X30" s="266"/>
      <c r="Y30" s="266"/>
      <c r="Z30" s="100"/>
      <c r="AA30" s="266"/>
      <c r="AB30" s="100"/>
      <c r="AC30" s="266"/>
      <c r="AD30" s="101"/>
    </row>
    <row r="31" spans="2:30" ht="30.75" thickBot="1" x14ac:dyDescent="0.25">
      <c r="B31" s="270" t="s">
        <v>427</v>
      </c>
      <c r="C31" s="420">
        <f>C27-C29</f>
        <v>0</v>
      </c>
      <c r="D31" s="100"/>
      <c r="E31" s="420">
        <f>E27-E29</f>
        <v>0</v>
      </c>
      <c r="F31" s="195"/>
      <c r="G31" s="420">
        <f>G27-G29</f>
        <v>0</v>
      </c>
      <c r="H31" s="195"/>
      <c r="I31" s="420">
        <f>'Change in Proportion - LEA'!C60</f>
        <v>0</v>
      </c>
      <c r="J31" s="195"/>
      <c r="K31" s="420">
        <f>K27-K29</f>
        <v>0</v>
      </c>
      <c r="L31" s="100"/>
      <c r="M31" s="420">
        <f>SUM(E31:K31)</f>
        <v>0</v>
      </c>
      <c r="O31" s="420">
        <f>O27-O29</f>
        <v>0</v>
      </c>
      <c r="P31" s="100"/>
      <c r="Q31" s="420">
        <f>Q27-Q29</f>
        <v>0</v>
      </c>
      <c r="R31" s="100"/>
      <c r="S31" s="420">
        <f>-'Change in Proportion - LEA'!D60</f>
        <v>0</v>
      </c>
      <c r="T31" s="195"/>
      <c r="U31" s="420">
        <f>U27-U29</f>
        <v>0</v>
      </c>
      <c r="V31" s="100"/>
      <c r="W31" s="420">
        <f>SUM(O31:U31)</f>
        <v>0</v>
      </c>
      <c r="Y31" s="420">
        <f>Y27-Y29</f>
        <v>0</v>
      </c>
      <c r="Z31" s="100"/>
      <c r="AA31" s="420">
        <f>'Change in Proportion - LEA'!C44</f>
        <v>0</v>
      </c>
      <c r="AB31" s="100"/>
      <c r="AC31" s="420">
        <f>AC27-AC29</f>
        <v>0</v>
      </c>
      <c r="AD31" s="101"/>
    </row>
    <row r="32" spans="2:30" ht="7.5" customHeight="1" thickTop="1" thickBot="1" x14ac:dyDescent="0.25">
      <c r="B32" s="205"/>
      <c r="C32" s="98"/>
      <c r="D32" s="98"/>
      <c r="E32" s="98"/>
      <c r="F32" s="98"/>
      <c r="G32" s="98"/>
      <c r="H32" s="98"/>
      <c r="I32" s="98"/>
      <c r="J32" s="98"/>
      <c r="K32" s="98"/>
      <c r="L32" s="98"/>
      <c r="M32" s="98"/>
      <c r="N32" s="98"/>
      <c r="O32" s="98"/>
      <c r="P32" s="98"/>
      <c r="Q32" s="98"/>
      <c r="R32" s="98"/>
      <c r="S32" s="98"/>
      <c r="T32" s="98"/>
      <c r="U32" s="98"/>
      <c r="V32" s="98"/>
      <c r="W32" s="98"/>
      <c r="X32" s="98"/>
      <c r="Y32" s="98"/>
      <c r="Z32" s="98"/>
      <c r="AA32" s="98"/>
      <c r="AB32" s="98"/>
      <c r="AC32" s="98"/>
      <c r="AD32" s="161"/>
    </row>
    <row r="33" spans="2:29" ht="15" customHeight="1" x14ac:dyDescent="0.2"/>
    <row r="34" spans="2:29" ht="15" customHeight="1" x14ac:dyDescent="0.2">
      <c r="B34" s="23" t="s">
        <v>235</v>
      </c>
      <c r="C34" s="195">
        <f>SUM(C29:C31)-C27</f>
        <v>0</v>
      </c>
      <c r="E34" s="195">
        <f>SUM(E29:E31)-E27</f>
        <v>0</v>
      </c>
      <c r="G34" s="195">
        <f>SUM(G29:G31)-G27</f>
        <v>0</v>
      </c>
      <c r="I34" s="195">
        <f>(I27-I29-I31)-(S27-S29-S31)</f>
        <v>0</v>
      </c>
      <c r="J34" s="195"/>
      <c r="K34" s="195">
        <f>SUM(K29:K31)-K27</f>
        <v>0</v>
      </c>
      <c r="L34" s="195"/>
      <c r="M34" s="195">
        <f>(M27-M29-M31)-(W27-W29-W31)</f>
        <v>0</v>
      </c>
      <c r="O34" s="195">
        <f>SUM(O29:O31)-O27</f>
        <v>0</v>
      </c>
      <c r="Q34" s="195">
        <f>SUM(Q29:Q31)-Q27</f>
        <v>0</v>
      </c>
      <c r="S34" s="195">
        <f>(I27-I29-I31)-(S27-S29-S31)</f>
        <v>0</v>
      </c>
      <c r="T34" s="195"/>
      <c r="U34" s="195">
        <f>SUM(U29:U31)-U27</f>
        <v>0</v>
      </c>
      <c r="V34" s="195"/>
      <c r="W34" s="195">
        <f>(M27-M29-M31)-(W27-W29-W31)</f>
        <v>0</v>
      </c>
      <c r="Y34" s="195">
        <f>SUM(Y29:Y31)-Y27</f>
        <v>0</v>
      </c>
      <c r="AA34" s="38">
        <f>SUM(AA29:AA31)-AA27</f>
        <v>0</v>
      </c>
      <c r="AC34" s="195">
        <f>SUM(AC29:AC31)-AC27</f>
        <v>0</v>
      </c>
    </row>
    <row r="35" spans="2:29" ht="15" customHeight="1" x14ac:dyDescent="0.2">
      <c r="K35" s="31"/>
    </row>
    <row r="36" spans="2:29" ht="15" customHeight="1" x14ac:dyDescent="0.2">
      <c r="M36" s="266"/>
      <c r="S36" s="195"/>
      <c r="T36" s="195"/>
      <c r="U36" s="195"/>
    </row>
    <row r="37" spans="2:29" ht="15" customHeight="1" x14ac:dyDescent="0.2">
      <c r="E37" s="195"/>
      <c r="F37" s="195"/>
      <c r="G37" s="195"/>
      <c r="H37" s="195"/>
      <c r="I37" s="195"/>
      <c r="J37" s="195"/>
      <c r="O37" s="195"/>
    </row>
    <row r="38" spans="2:29" ht="15.75" thickBot="1" x14ac:dyDescent="0.25"/>
    <row r="39" spans="2:29" ht="6" customHeight="1" x14ac:dyDescent="0.2">
      <c r="B39" s="214"/>
      <c r="C39" s="158"/>
      <c r="D39" s="158"/>
      <c r="E39" s="158"/>
      <c r="F39" s="158"/>
      <c r="G39" s="496" t="s">
        <v>176</v>
      </c>
      <c r="H39" s="158"/>
      <c r="I39" s="496" t="s">
        <v>428</v>
      </c>
      <c r="J39" s="158"/>
      <c r="K39" s="498" t="s">
        <v>429</v>
      </c>
    </row>
    <row r="40" spans="2:29" x14ac:dyDescent="0.2">
      <c r="B40" s="176"/>
      <c r="G40" s="497"/>
      <c r="I40" s="497"/>
      <c r="K40" s="499"/>
      <c r="M40" s="38"/>
    </row>
    <row r="41" spans="2:29" x14ac:dyDescent="0.2">
      <c r="B41" s="176"/>
      <c r="G41" s="497"/>
      <c r="I41" s="497"/>
      <c r="K41" s="499"/>
    </row>
    <row r="42" spans="2:29" x14ac:dyDescent="0.2">
      <c r="B42" s="176"/>
      <c r="G42" s="497"/>
      <c r="I42" s="497"/>
      <c r="K42" s="499"/>
    </row>
    <row r="43" spans="2:29" x14ac:dyDescent="0.2">
      <c r="B43" s="176"/>
      <c r="G43" s="497"/>
      <c r="I43" s="497"/>
      <c r="K43" s="499"/>
    </row>
    <row r="44" spans="2:29" x14ac:dyDescent="0.2">
      <c r="B44" s="176"/>
      <c r="G44" s="497"/>
      <c r="I44" s="497"/>
      <c r="K44" s="499"/>
    </row>
    <row r="45" spans="2:29" x14ac:dyDescent="0.2">
      <c r="B45" s="176"/>
      <c r="K45" s="160"/>
    </row>
    <row r="46" spans="2:29" ht="15.75" x14ac:dyDescent="0.25">
      <c r="B46" s="97" t="s">
        <v>542</v>
      </c>
      <c r="K46" s="160"/>
    </row>
    <row r="47" spans="2:29" ht="15.75" x14ac:dyDescent="0.2">
      <c r="B47" s="105" t="s">
        <v>19</v>
      </c>
      <c r="G47" s="102">
        <f>'GASB 68 Sch Input PY '!B33</f>
        <v>0</v>
      </c>
      <c r="H47" s="100"/>
      <c r="I47" s="102">
        <f>'MCVC Proportion'!G16</f>
        <v>0</v>
      </c>
      <c r="J47" s="100"/>
      <c r="K47" s="386">
        <f>G47-I47</f>
        <v>0</v>
      </c>
    </row>
    <row r="48" spans="2:29" ht="15.75" x14ac:dyDescent="0.2">
      <c r="B48" s="105" t="s">
        <v>20</v>
      </c>
      <c r="G48" s="271">
        <f>'GASB 68 Sch Input PY '!D33</f>
        <v>0</v>
      </c>
      <c r="H48" s="100"/>
      <c r="I48" s="271">
        <f>'MCVC Proportion'!G20</f>
        <v>0</v>
      </c>
      <c r="J48" s="100"/>
      <c r="K48" s="388">
        <f>G48-I48</f>
        <v>0</v>
      </c>
    </row>
    <row r="49" spans="2:18" ht="16.5" thickBot="1" x14ac:dyDescent="0.25">
      <c r="B49" s="106" t="s">
        <v>21</v>
      </c>
      <c r="C49" s="98"/>
      <c r="D49" s="98"/>
      <c r="E49" s="98"/>
      <c r="F49" s="98"/>
      <c r="G49" s="272">
        <f>'GASB 68 Sch Input PY '!B16</f>
        <v>0</v>
      </c>
      <c r="H49" s="262"/>
      <c r="I49" s="272">
        <f>'GASB 68 Sch Input PY '!B21*'Net LEA Amounts'!I48</f>
        <v>0</v>
      </c>
      <c r="J49" s="262"/>
      <c r="K49" s="389">
        <f>G49-I49</f>
        <v>0</v>
      </c>
    </row>
    <row r="50" spans="2:18" ht="3.75" customHeight="1" x14ac:dyDescent="0.2"/>
    <row r="52" spans="2:18" x14ac:dyDescent="0.2">
      <c r="M52" s="31"/>
    </row>
    <row r="57" spans="2:18" x14ac:dyDescent="0.2">
      <c r="B57" s="23"/>
      <c r="C57" s="90"/>
      <c r="D57" s="23"/>
      <c r="E57" s="23"/>
      <c r="F57" s="23"/>
      <c r="G57" s="23"/>
      <c r="H57" s="23"/>
      <c r="I57" s="23"/>
      <c r="J57" s="23"/>
      <c r="K57" s="23"/>
      <c r="L57" s="23"/>
      <c r="M57" s="23"/>
      <c r="N57" s="23"/>
      <c r="O57" s="273"/>
      <c r="P57" s="274"/>
      <c r="Q57" s="273"/>
      <c r="R57" s="23"/>
    </row>
  </sheetData>
  <sheetProtection algorithmName="SHA-512" hashValue="A++wrp06v60/7b8DiI8J4cy2ZHwfLaUrN3feSNPf5/gUt77Kz87gOXaObqqzTPcnRNY9V2gsZHQjgvwz1kr5Ng==" saltValue="hlwuSWEZgWe+csb8fhwMPw==" spinCount="100000" sheet="1" objects="1" scenarios="1"/>
  <mergeCells count="12">
    <mergeCell ref="I4:I9"/>
    <mergeCell ref="K4:K9"/>
    <mergeCell ref="G39:G44"/>
    <mergeCell ref="I39:I44"/>
    <mergeCell ref="K39:K44"/>
    <mergeCell ref="B17:AD17"/>
    <mergeCell ref="B18:AD18"/>
    <mergeCell ref="B19:AD19"/>
    <mergeCell ref="E21:M21"/>
    <mergeCell ref="O21:W21"/>
    <mergeCell ref="Y21:AC21"/>
    <mergeCell ref="G4:G9"/>
  </mergeCells>
  <pageMargins left="0.7" right="0.7" top="0.75" bottom="0.75" header="0.3" footer="0.3"/>
  <cellWatches>
    <cellWatch r="C34"/>
    <cellWatch r="G34"/>
    <cellWatch r="I34"/>
    <cellWatch r="M34"/>
    <cellWatch r="O34"/>
    <cellWatch r="Q34"/>
    <cellWatch r="S34"/>
    <cellWatch r="W34"/>
    <cellWatch r="Y34"/>
    <cellWatch r="AA34"/>
    <cellWatch r="AC34"/>
    <cellWatch r="K34"/>
    <cellWatch r="U34"/>
  </cellWatches>
  <legacy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030A0"/>
  </sheetPr>
  <dimension ref="A1:M62"/>
  <sheetViews>
    <sheetView workbookViewId="0">
      <selection activeCell="R12" sqref="R12"/>
    </sheetView>
  </sheetViews>
  <sheetFormatPr defaultColWidth="8.88671875" defaultRowHeight="15" x14ac:dyDescent="0.2"/>
  <cols>
    <col min="8" max="8" width="15.77734375" customWidth="1"/>
    <col min="9" max="9" width="2.77734375" customWidth="1"/>
    <col min="10" max="10" width="15.77734375" hidden="1" customWidth="1"/>
    <col min="11" max="11" width="2.77734375" hidden="1" customWidth="1"/>
    <col min="12" max="12" width="17.21875" customWidth="1"/>
    <col min="13" max="13" width="2.77734375" customWidth="1"/>
  </cols>
  <sheetData>
    <row r="1" spans="1:12" ht="18" x14ac:dyDescent="0.25">
      <c r="A1" s="20" t="s">
        <v>18</v>
      </c>
    </row>
    <row r="2" spans="1:12" ht="18" x14ac:dyDescent="0.25">
      <c r="A2" s="20" t="str">
        <f>'Net LEA Amounts'!G2</f>
        <v>Password for protected sheet: BOE2024</v>
      </c>
    </row>
    <row r="6" spans="1:12" ht="21" x14ac:dyDescent="0.35">
      <c r="A6" s="507" t="s">
        <v>159</v>
      </c>
      <c r="B6" s="507"/>
      <c r="C6" s="507"/>
      <c r="D6" s="507"/>
      <c r="E6" s="507"/>
      <c r="F6" s="507"/>
      <c r="G6" s="507"/>
      <c r="H6" s="507"/>
      <c r="I6" s="507"/>
      <c r="J6" s="507"/>
      <c r="K6" s="507"/>
      <c r="L6" s="507"/>
    </row>
    <row r="7" spans="1:12" x14ac:dyDescent="0.2">
      <c r="B7" s="508" t="s">
        <v>79</v>
      </c>
      <c r="C7" s="508"/>
      <c r="D7" s="508"/>
      <c r="E7" s="508"/>
      <c r="F7" s="508"/>
      <c r="G7" s="508"/>
      <c r="H7" s="508"/>
      <c r="I7" s="508"/>
      <c r="J7" s="508"/>
      <c r="K7" s="508"/>
      <c r="L7" s="508"/>
    </row>
    <row r="8" spans="1:12" x14ac:dyDescent="0.2">
      <c r="B8" s="508"/>
      <c r="C8" s="508"/>
      <c r="D8" s="508"/>
      <c r="E8" s="508"/>
      <c r="F8" s="508"/>
      <c r="G8" s="508"/>
      <c r="H8" s="508"/>
      <c r="I8" s="508"/>
      <c r="J8" s="508"/>
      <c r="K8" s="508"/>
      <c r="L8" s="508"/>
    </row>
    <row r="9" spans="1:12" x14ac:dyDescent="0.2">
      <c r="B9" s="508"/>
      <c r="C9" s="508"/>
      <c r="D9" s="508"/>
      <c r="E9" s="508"/>
      <c r="F9" s="508"/>
      <c r="G9" s="508"/>
      <c r="H9" s="508"/>
      <c r="I9" s="508"/>
      <c r="J9" s="508"/>
      <c r="K9" s="508"/>
      <c r="L9" s="508"/>
    </row>
    <row r="10" spans="1:12" x14ac:dyDescent="0.2">
      <c r="B10" s="508"/>
      <c r="C10" s="508"/>
      <c r="D10" s="508"/>
      <c r="E10" s="508"/>
      <c r="F10" s="508"/>
      <c r="G10" s="508"/>
      <c r="H10" s="508"/>
      <c r="I10" s="508"/>
      <c r="J10" s="508"/>
      <c r="K10" s="508"/>
      <c r="L10" s="508"/>
    </row>
    <row r="11" spans="1:12" ht="15.75" x14ac:dyDescent="0.25">
      <c r="C11" s="23"/>
      <c r="H11" s="34"/>
    </row>
    <row r="12" spans="1:12" ht="15.75" x14ac:dyDescent="0.25">
      <c r="C12" s="23"/>
      <c r="H12" s="34"/>
    </row>
    <row r="13" spans="1:12" ht="15.75" x14ac:dyDescent="0.25">
      <c r="H13" s="506" t="s">
        <v>554</v>
      </c>
      <c r="I13" s="506"/>
      <c r="J13" s="506"/>
      <c r="K13" s="506"/>
      <c r="L13" s="506"/>
    </row>
    <row r="14" spans="1:12" ht="15.75" x14ac:dyDescent="0.25">
      <c r="H14" s="136" t="s">
        <v>326</v>
      </c>
      <c r="J14" s="136" t="s">
        <v>327</v>
      </c>
      <c r="L14" s="136" t="s">
        <v>328</v>
      </c>
    </row>
    <row r="15" spans="1:12" ht="15.75" x14ac:dyDescent="0.25">
      <c r="A15" s="22" t="s">
        <v>113</v>
      </c>
      <c r="H15" s="33"/>
      <c r="J15" s="25"/>
    </row>
    <row r="16" spans="1:12" x14ac:dyDescent="0.2">
      <c r="H16" s="33"/>
      <c r="J16" s="25"/>
    </row>
    <row r="17" spans="1:13" x14ac:dyDescent="0.2">
      <c r="A17" t="s">
        <v>106</v>
      </c>
      <c r="H17" s="26">
        <f>'GASB 68 Sch Input CY'!B38</f>
        <v>407182995</v>
      </c>
      <c r="J17" s="145"/>
      <c r="L17" s="30">
        <f>'GASB 68 Sch Input CY'!B38</f>
        <v>407182995</v>
      </c>
    </row>
    <row r="18" spans="1:13" x14ac:dyDescent="0.2">
      <c r="A18" t="s">
        <v>107</v>
      </c>
      <c r="B18" t="s">
        <v>108</v>
      </c>
      <c r="H18" s="26">
        <f>-ROUND('GASB 68 Sch Input CY'!B36,0)</f>
        <v>-271978964</v>
      </c>
      <c r="J18" s="145"/>
      <c r="L18" s="30">
        <f>-ROUND('GASB 68 Sch Input CY'!B36,0)</f>
        <v>-271978964</v>
      </c>
    </row>
    <row r="19" spans="1:13" x14ac:dyDescent="0.2">
      <c r="B19" t="s">
        <v>109</v>
      </c>
      <c r="H19" s="26">
        <f>-ROUND('GASB 68 Sch Input CY'!B35,0)</f>
        <v>-101255002</v>
      </c>
      <c r="J19" s="146"/>
      <c r="L19" s="30">
        <f>-ROUND('GASB 68 Sch Input CY'!B35,0)</f>
        <v>-101255002</v>
      </c>
    </row>
    <row r="20" spans="1:13" x14ac:dyDescent="0.2">
      <c r="B20" t="s">
        <v>114</v>
      </c>
      <c r="H20" s="26">
        <f>-ROUND('GASB 68 Sch Input CY'!B37,0)</f>
        <v>-3968256</v>
      </c>
      <c r="J20" s="145"/>
      <c r="L20" s="30">
        <f>-ROUND('GASB 68 Sch Input CY'!B37,0)</f>
        <v>-3968256</v>
      </c>
    </row>
    <row r="21" spans="1:13" x14ac:dyDescent="0.2">
      <c r="A21" t="s">
        <v>115</v>
      </c>
      <c r="H21" s="35">
        <f>SUM(H17:H20)</f>
        <v>29980773</v>
      </c>
      <c r="J21" s="145"/>
      <c r="L21" s="35">
        <f>SUM(L17:L20)</f>
        <v>29980773</v>
      </c>
    </row>
    <row r="22" spans="1:13" x14ac:dyDescent="0.2">
      <c r="H22" s="33"/>
      <c r="J22" s="147"/>
    </row>
    <row r="23" spans="1:13" x14ac:dyDescent="0.2">
      <c r="A23" s="23" t="s">
        <v>372</v>
      </c>
      <c r="H23" s="28">
        <f>'Net LEA Amounts'!K12</f>
        <v>0</v>
      </c>
      <c r="J23" s="145"/>
      <c r="L23" s="28">
        <f>'Net LEA Amounts'!I12</f>
        <v>0</v>
      </c>
    </row>
    <row r="24" spans="1:13" ht="15.75" x14ac:dyDescent="0.25">
      <c r="A24" s="23" t="s">
        <v>370</v>
      </c>
      <c r="H24" s="36">
        <f>IF((H21=0),0,H23/H21)</f>
        <v>0</v>
      </c>
      <c r="I24" s="27" t="s">
        <v>157</v>
      </c>
      <c r="J24" s="148"/>
      <c r="K24" s="275"/>
      <c r="L24" s="36">
        <f>IF((L21=0),0,L23/L21)</f>
        <v>0</v>
      </c>
      <c r="M24" s="276" t="s">
        <v>375</v>
      </c>
    </row>
    <row r="25" spans="1:13" x14ac:dyDescent="0.2">
      <c r="A25" t="s">
        <v>116</v>
      </c>
      <c r="H25" s="28">
        <f>'GASB 68 Sch Input CY'!AF18</f>
        <v>78676456</v>
      </c>
      <c r="J25" s="145"/>
      <c r="L25" s="28">
        <f>'GASB 68 Sch Input CY'!AF18</f>
        <v>78676456</v>
      </c>
    </row>
    <row r="26" spans="1:13" x14ac:dyDescent="0.2">
      <c r="A26" s="23" t="s">
        <v>371</v>
      </c>
      <c r="H26" s="35">
        <f>H25*H24</f>
        <v>0</v>
      </c>
      <c r="J26" s="145">
        <v>0</v>
      </c>
      <c r="L26" s="35">
        <f>L25*L24</f>
        <v>0</v>
      </c>
    </row>
    <row r="27" spans="1:13" ht="15.75" x14ac:dyDescent="0.25">
      <c r="H27" s="34"/>
    </row>
    <row r="28" spans="1:13" ht="15.75" x14ac:dyDescent="0.25">
      <c r="H28" s="34"/>
    </row>
    <row r="29" spans="1:13" ht="15.75" x14ac:dyDescent="0.25">
      <c r="A29" s="22" t="s">
        <v>104</v>
      </c>
      <c r="H29" s="33"/>
    </row>
    <row r="30" spans="1:13" x14ac:dyDescent="0.2">
      <c r="A30" t="s">
        <v>105</v>
      </c>
      <c r="H30" s="33"/>
    </row>
    <row r="31" spans="1:13" x14ac:dyDescent="0.2">
      <c r="H31" s="33"/>
    </row>
    <row r="32" spans="1:13" x14ac:dyDescent="0.2">
      <c r="A32" t="s">
        <v>106</v>
      </c>
      <c r="H32" s="26">
        <f>'GASB 68 Sch Input CY'!B38</f>
        <v>407182995</v>
      </c>
      <c r="I32" s="26"/>
      <c r="J32" s="26">
        <f>'GASB 68 Sch Input CY'!B38</f>
        <v>407182995</v>
      </c>
      <c r="K32" s="26"/>
      <c r="L32" s="26">
        <f>'GASB 68 Sch Input CY'!B38</f>
        <v>407182995</v>
      </c>
    </row>
    <row r="33" spans="1:13" x14ac:dyDescent="0.2">
      <c r="A33" t="s">
        <v>107</v>
      </c>
      <c r="B33" t="s">
        <v>108</v>
      </c>
      <c r="H33" s="26">
        <f>-'GASB 68 Sch Input CY'!B36</f>
        <v>-271978964</v>
      </c>
      <c r="J33" s="24">
        <f>-'GASB 68 Sch Input CY'!B36</f>
        <v>-271978964</v>
      </c>
      <c r="L33" s="30">
        <f>-'GASB 68 Sch Input CY'!B36</f>
        <v>-271978964</v>
      </c>
    </row>
    <row r="34" spans="1:13" x14ac:dyDescent="0.2">
      <c r="A34" t="s">
        <v>110</v>
      </c>
      <c r="H34" s="35">
        <f>SUM(H32:H33)</f>
        <v>135204031</v>
      </c>
      <c r="J34" s="35">
        <f>SUM(J32:J33)</f>
        <v>135204031</v>
      </c>
      <c r="L34" s="35">
        <f>SUM(L32:L33)</f>
        <v>135204031</v>
      </c>
    </row>
    <row r="35" spans="1:13" x14ac:dyDescent="0.2">
      <c r="H35" s="33"/>
      <c r="J35" s="25"/>
    </row>
    <row r="36" spans="1:13" x14ac:dyDescent="0.2">
      <c r="A36" s="23" t="s">
        <v>372</v>
      </c>
      <c r="H36" s="24">
        <f>'Net LEA Amounts'!K12</f>
        <v>0</v>
      </c>
      <c r="J36" s="24" t="e">
        <f>'Net LEA Amounts'!#REF!</f>
        <v>#REF!</v>
      </c>
      <c r="L36" s="24">
        <f>'Net LEA Amounts'!I12</f>
        <v>0</v>
      </c>
    </row>
    <row r="37" spans="1:13" x14ac:dyDescent="0.2">
      <c r="A37" s="23" t="s">
        <v>373</v>
      </c>
      <c r="H37" s="28">
        <f>ROUND((-H19*H24),0)</f>
        <v>0</v>
      </c>
      <c r="J37" s="28">
        <f>ROUND((-J19*J24),0)</f>
        <v>0</v>
      </c>
      <c r="L37" s="28">
        <f>ROUND((-L19*L24),0)</f>
        <v>0</v>
      </c>
    </row>
    <row r="38" spans="1:13" x14ac:dyDescent="0.2">
      <c r="B38" s="23" t="s">
        <v>155</v>
      </c>
      <c r="H38" s="37">
        <f>SUM(H36:H37)</f>
        <v>0</v>
      </c>
      <c r="J38" s="37" t="e">
        <f>SUM(J36:J37)</f>
        <v>#REF!</v>
      </c>
      <c r="L38" s="37">
        <f>SUM(L36:L37)</f>
        <v>0</v>
      </c>
    </row>
    <row r="39" spans="1:13" ht="15.75" x14ac:dyDescent="0.25">
      <c r="A39" s="23" t="s">
        <v>370</v>
      </c>
      <c r="H39" s="36">
        <f>IF((H34=0),0,H38/H34)</f>
        <v>0</v>
      </c>
      <c r="I39" s="27" t="s">
        <v>158</v>
      </c>
      <c r="J39" s="36" t="e">
        <f>IF((J34=0),0,J38/J34)</f>
        <v>#REF!</v>
      </c>
      <c r="K39" s="275" t="s">
        <v>377</v>
      </c>
      <c r="L39" s="36">
        <f>IF((L34=0),0,L38/L34)</f>
        <v>0</v>
      </c>
      <c r="M39" s="276" t="s">
        <v>376</v>
      </c>
    </row>
    <row r="40" spans="1:13" x14ac:dyDescent="0.2">
      <c r="A40" t="s">
        <v>112</v>
      </c>
      <c r="H40" s="28">
        <f>'GASB 68 Sch Input CY'!AF19</f>
        <v>181814193</v>
      </c>
      <c r="J40" s="24">
        <f>'GASB 68 Sch Input CY'!AF19</f>
        <v>181814193</v>
      </c>
      <c r="L40" s="24">
        <f>'GASB 68 Sch Input CY'!AF19</f>
        <v>181814193</v>
      </c>
    </row>
    <row r="41" spans="1:13" x14ac:dyDescent="0.2">
      <c r="A41" s="23" t="s">
        <v>374</v>
      </c>
      <c r="H41" s="37">
        <f>H40*H39</f>
        <v>0</v>
      </c>
      <c r="J41" s="37" t="e">
        <f>J40*J39</f>
        <v>#REF!</v>
      </c>
      <c r="L41" s="37">
        <f>L40*L39</f>
        <v>0</v>
      </c>
    </row>
    <row r="42" spans="1:13" ht="16.5" thickBot="1" x14ac:dyDescent="0.3">
      <c r="B42" t="s">
        <v>117</v>
      </c>
      <c r="H42" s="149">
        <f>H26+H41</f>
        <v>0</v>
      </c>
      <c r="I42" s="32"/>
      <c r="J42" s="149" t="e">
        <f>J26+J41</f>
        <v>#REF!</v>
      </c>
      <c r="L42" s="149">
        <f>L26+L41</f>
        <v>0</v>
      </c>
    </row>
    <row r="43" spans="1:13" ht="15.75" thickTop="1" x14ac:dyDescent="0.2">
      <c r="B43" s="23"/>
      <c r="H43" s="277" t="s">
        <v>378</v>
      </c>
      <c r="I43" s="23"/>
      <c r="J43" s="277" t="s">
        <v>378</v>
      </c>
      <c r="L43" s="277" t="s">
        <v>378</v>
      </c>
    </row>
    <row r="46" spans="1:13" ht="21" x14ac:dyDescent="0.35">
      <c r="A46" s="507" t="s">
        <v>123</v>
      </c>
      <c r="B46" s="507"/>
      <c r="C46" s="507"/>
      <c r="D46" s="507"/>
      <c r="E46" s="507"/>
      <c r="F46" s="507"/>
      <c r="G46" s="507"/>
      <c r="H46" s="507"/>
      <c r="I46" s="507"/>
      <c r="J46" s="507"/>
      <c r="K46" s="507"/>
      <c r="L46" s="507"/>
    </row>
    <row r="47" spans="1:13" x14ac:dyDescent="0.2">
      <c r="B47" s="39"/>
      <c r="C47" s="40"/>
      <c r="D47" s="40"/>
      <c r="E47" s="40"/>
      <c r="F47" s="40"/>
      <c r="G47" s="40"/>
      <c r="H47" s="40"/>
      <c r="I47" s="40"/>
      <c r="J47" s="40"/>
    </row>
    <row r="48" spans="1:13" x14ac:dyDescent="0.2">
      <c r="B48" s="39"/>
      <c r="C48" s="40"/>
      <c r="D48" s="40"/>
      <c r="E48" s="40"/>
      <c r="F48" s="40"/>
      <c r="G48" s="40"/>
      <c r="H48" s="40"/>
      <c r="I48" s="40"/>
      <c r="J48" s="40"/>
    </row>
    <row r="49" spans="1:13" ht="15.75" x14ac:dyDescent="0.25">
      <c r="A49" s="22" t="s">
        <v>125</v>
      </c>
      <c r="H49" s="33"/>
      <c r="J49" s="25"/>
    </row>
    <row r="50" spans="1:13" x14ac:dyDescent="0.2">
      <c r="H50" s="33"/>
      <c r="J50" s="25"/>
    </row>
    <row r="51" spans="1:13" ht="15.75" x14ac:dyDescent="0.25">
      <c r="A51" s="23" t="s">
        <v>156</v>
      </c>
      <c r="H51" s="36">
        <f>H24</f>
        <v>0</v>
      </c>
      <c r="I51" s="27" t="s">
        <v>157</v>
      </c>
      <c r="J51" s="150"/>
      <c r="K51" s="275"/>
      <c r="L51" s="36">
        <f>L24</f>
        <v>0</v>
      </c>
      <c r="M51" s="276" t="s">
        <v>375</v>
      </c>
    </row>
    <row r="52" spans="1:13" x14ac:dyDescent="0.2">
      <c r="A52" s="23" t="s">
        <v>121</v>
      </c>
      <c r="H52" s="28">
        <f>'GASB 68 Sch Input CY'!B18</f>
        <v>563596376</v>
      </c>
      <c r="J52" s="145"/>
      <c r="L52" s="30">
        <f>'GASB 68 Sch Input CY'!B18</f>
        <v>563596376</v>
      </c>
    </row>
    <row r="53" spans="1:13" x14ac:dyDescent="0.2">
      <c r="A53" s="23" t="s">
        <v>122</v>
      </c>
      <c r="H53" s="152">
        <f>ROUND(H52*H51,0)</f>
        <v>0</v>
      </c>
      <c r="J53" s="145"/>
      <c r="L53" s="152">
        <f>ROUND(L52*L51,0)</f>
        <v>0</v>
      </c>
    </row>
    <row r="54" spans="1:13" x14ac:dyDescent="0.2">
      <c r="B54" s="39"/>
      <c r="C54" s="40"/>
      <c r="D54" s="40"/>
      <c r="E54" s="40"/>
      <c r="F54" s="40"/>
      <c r="G54" s="40"/>
      <c r="H54" s="40"/>
      <c r="I54" s="40"/>
      <c r="J54" s="40"/>
    </row>
    <row r="55" spans="1:13" ht="15.75" x14ac:dyDescent="0.25">
      <c r="A55" s="22" t="s">
        <v>124</v>
      </c>
      <c r="H55" s="33"/>
    </row>
    <row r="56" spans="1:13" x14ac:dyDescent="0.2">
      <c r="A56" t="s">
        <v>105</v>
      </c>
      <c r="H56" s="33"/>
    </row>
    <row r="57" spans="1:13" x14ac:dyDescent="0.2">
      <c r="H57" s="33"/>
    </row>
    <row r="58" spans="1:13" ht="15.75" x14ac:dyDescent="0.25">
      <c r="A58" t="s">
        <v>111</v>
      </c>
      <c r="H58" s="36">
        <f>H39</f>
        <v>0</v>
      </c>
      <c r="I58" s="27" t="s">
        <v>158</v>
      </c>
      <c r="J58" s="36" t="e">
        <f>J39</f>
        <v>#REF!</v>
      </c>
      <c r="K58" s="275" t="s">
        <v>377</v>
      </c>
      <c r="L58" s="36">
        <f>L39</f>
        <v>0</v>
      </c>
      <c r="M58" s="276" t="s">
        <v>376</v>
      </c>
    </row>
    <row r="59" spans="1:13" x14ac:dyDescent="0.2">
      <c r="A59" s="23" t="s">
        <v>119</v>
      </c>
      <c r="H59" s="41">
        <f>'GASB 68 Sch Input CY'!B19</f>
        <v>1536845624</v>
      </c>
      <c r="J59" s="24">
        <f>'GASB 68 Sch Input CY'!B19</f>
        <v>1536845624</v>
      </c>
      <c r="L59" s="30">
        <f>'GASB 68 Sch Input CY'!B19</f>
        <v>1536845624</v>
      </c>
    </row>
    <row r="60" spans="1:13" x14ac:dyDescent="0.2">
      <c r="A60" s="23" t="s">
        <v>120</v>
      </c>
      <c r="H60" s="37">
        <f>ROUND(H59*H58,0)</f>
        <v>0</v>
      </c>
      <c r="J60" s="37" t="e">
        <f>ROUND(J59*J58,0)</f>
        <v>#REF!</v>
      </c>
      <c r="L60" s="37">
        <f>ROUND(L59*L58,0)</f>
        <v>0</v>
      </c>
    </row>
    <row r="61" spans="1:13" ht="16.5" thickBot="1" x14ac:dyDescent="0.3">
      <c r="B61" s="23" t="s">
        <v>95</v>
      </c>
      <c r="H61" s="297">
        <f>H53+H60</f>
        <v>0</v>
      </c>
      <c r="J61" s="297" t="e">
        <f>J53+J60</f>
        <v>#REF!</v>
      </c>
      <c r="L61" s="297">
        <f>L53+L60</f>
        <v>0</v>
      </c>
    </row>
    <row r="62" spans="1:13" ht="16.5" thickTop="1" x14ac:dyDescent="0.25">
      <c r="B62" s="40"/>
      <c r="C62" s="40"/>
      <c r="D62" s="40"/>
      <c r="E62" s="40"/>
      <c r="F62" s="40"/>
      <c r="G62" s="40"/>
      <c r="H62" s="151" t="s">
        <v>126</v>
      </c>
      <c r="I62" s="40"/>
      <c r="J62" s="151" t="s">
        <v>126</v>
      </c>
      <c r="L62" s="151" t="s">
        <v>126</v>
      </c>
    </row>
  </sheetData>
  <sheetProtection algorithmName="SHA-512" hashValue="rlTsBsBRsve26gyOHCNVAfPPzjLDQpKYjQPKk0/l+CZF/pTcQ7/Dc4UQMyqanE5XGEtvhorwBeUSl9nF+B8JoQ==" saltValue="MrImdrQOjzHRNbgPZOMIOQ==" spinCount="100000" sheet="1" objects="1" scenarios="1"/>
  <mergeCells count="4">
    <mergeCell ref="H13:L13"/>
    <mergeCell ref="A6:L6"/>
    <mergeCell ref="B7:L10"/>
    <mergeCell ref="A46:L4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5" tint="0.39997558519241921"/>
  </sheetPr>
  <dimension ref="B17:G18"/>
  <sheetViews>
    <sheetView view="pageBreakPreview" zoomScale="60" zoomScaleNormal="100" workbookViewId="0">
      <selection activeCell="T51" sqref="T51"/>
    </sheetView>
  </sheetViews>
  <sheetFormatPr defaultColWidth="8.88671875" defaultRowHeight="15" x14ac:dyDescent="0.2"/>
  <cols>
    <col min="1" max="16384" width="8.88671875" style="48"/>
  </cols>
  <sheetData>
    <row r="17" spans="2:7" x14ac:dyDescent="0.2">
      <c r="B17" s="509" t="s">
        <v>14</v>
      </c>
      <c r="C17" s="509"/>
      <c r="D17" s="509"/>
      <c r="E17" s="509"/>
      <c r="F17" s="509"/>
      <c r="G17" s="509"/>
    </row>
    <row r="18" spans="2:7" x14ac:dyDescent="0.2">
      <c r="B18" s="509"/>
      <c r="C18" s="509"/>
      <c r="D18" s="509"/>
      <c r="E18" s="509"/>
      <c r="F18" s="509"/>
      <c r="G18" s="509"/>
    </row>
  </sheetData>
  <sheetProtection algorithmName="SHA-512" hashValue="J+5FiK6HztDTAzyAexHxInrfAjSpcyw1YrRNPxTs+TET+rTLvqhBshP429sLGX9vZpZbDIwdXGOEPWqeUtcrUA==" saltValue="PMaKYNf/h8t6Y02DzL4HmA==" spinCount="100000" sheet="1" objects="1" scenarios="1"/>
  <mergeCells count="1">
    <mergeCell ref="B17:G18"/>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5" tint="0.39997558519241921"/>
  </sheetPr>
  <dimension ref="B1:G25"/>
  <sheetViews>
    <sheetView view="pageBreakPreview" zoomScale="130" zoomScaleNormal="100" zoomScaleSheetLayoutView="130" workbookViewId="0">
      <selection activeCell="D5" sqref="D5"/>
    </sheetView>
  </sheetViews>
  <sheetFormatPr defaultColWidth="8.88671875" defaultRowHeight="15" x14ac:dyDescent="0.2"/>
  <cols>
    <col min="1" max="1" width="8.88671875" style="48"/>
    <col min="2" max="2" width="40.77734375" style="48" customWidth="1"/>
    <col min="3" max="3" width="1" style="48" customWidth="1"/>
    <col min="4" max="4" width="12.77734375" style="48" customWidth="1"/>
    <col min="5" max="5" width="1" style="48" customWidth="1"/>
    <col min="6" max="16384" width="8.88671875" style="48"/>
  </cols>
  <sheetData>
    <row r="1" spans="2:7" ht="15.75" x14ac:dyDescent="0.25">
      <c r="B1" s="366" t="s">
        <v>148</v>
      </c>
    </row>
    <row r="2" spans="2:7" ht="18" x14ac:dyDescent="0.25">
      <c r="B2" s="299" t="s">
        <v>6</v>
      </c>
      <c r="F2" s="300" t="s">
        <v>18</v>
      </c>
    </row>
    <row r="3" spans="2:7" ht="18" x14ac:dyDescent="0.25">
      <c r="B3" s="299"/>
      <c r="F3" s="300" t="str">
        <f>'GASB 68 State Aid Support'!A2</f>
        <v>Password for protected sheet: BOE2024</v>
      </c>
    </row>
    <row r="4" spans="2:7" x14ac:dyDescent="0.2">
      <c r="B4" s="301"/>
      <c r="C4" s="302"/>
      <c r="D4" s="302"/>
      <c r="E4" s="303"/>
      <c r="F4" s="303"/>
      <c r="G4" s="303"/>
    </row>
    <row r="5" spans="2:7" x14ac:dyDescent="0.2">
      <c r="B5" s="301" t="s">
        <v>149</v>
      </c>
      <c r="C5" s="302"/>
      <c r="D5" s="278">
        <f>'GASB 68 JEs'!F16+'GASB 68 JEs'!F76-'GASB 68 JEs'!D76</f>
        <v>0</v>
      </c>
      <c r="E5" s="303"/>
      <c r="F5" s="303"/>
      <c r="G5" s="303"/>
    </row>
    <row r="6" spans="2:7" ht="4.5" customHeight="1" x14ac:dyDescent="0.2">
      <c r="B6" s="304"/>
      <c r="C6" s="7"/>
      <c r="D6" s="280"/>
    </row>
    <row r="7" spans="2:7" x14ac:dyDescent="0.2">
      <c r="B7" s="305" t="s">
        <v>151</v>
      </c>
      <c r="C7" s="4"/>
      <c r="D7" s="280"/>
      <c r="E7" s="301"/>
      <c r="F7" s="301"/>
      <c r="G7" s="306"/>
    </row>
    <row r="8" spans="2:7" x14ac:dyDescent="0.2">
      <c r="B8" s="304" t="s">
        <v>150</v>
      </c>
      <c r="C8" s="4"/>
      <c r="D8" s="281">
        <f>IF('GASB 68 JEs'!I9="LEA",'GASB 68 State Aid Support'!H61,IF('GASB 68 JEs'!I9="RESA",'GASB 68 State Aid Support'!J61,IF('GASB 68 JEs'!I9="MCVC",'GASB 68 State Aid Support'!L61,0)))</f>
        <v>0</v>
      </c>
      <c r="E8" s="301"/>
      <c r="F8" s="301"/>
      <c r="G8" s="306"/>
    </row>
    <row r="9" spans="2:7" ht="15.75" thickBot="1" x14ac:dyDescent="0.25">
      <c r="B9" s="92" t="s">
        <v>152</v>
      </c>
      <c r="C9" s="4"/>
      <c r="D9" s="279">
        <f>SUM(D5:D8)</f>
        <v>0</v>
      </c>
      <c r="E9" s="301"/>
      <c r="F9" s="301"/>
      <c r="G9" s="306"/>
    </row>
    <row r="10" spans="2:7" ht="5.25" customHeight="1" thickTop="1" x14ac:dyDescent="0.2">
      <c r="B10" s="307"/>
      <c r="C10" s="306"/>
      <c r="D10" s="301"/>
      <c r="E10" s="301"/>
      <c r="F10" s="301"/>
      <c r="G10" s="306"/>
    </row>
    <row r="11" spans="2:7" x14ac:dyDescent="0.2">
      <c r="B11" s="304"/>
      <c r="C11" s="306"/>
      <c r="D11" s="301"/>
      <c r="E11" s="301"/>
      <c r="F11" s="301"/>
      <c r="G11" s="306"/>
    </row>
    <row r="12" spans="2:7" x14ac:dyDescent="0.2">
      <c r="B12" s="304"/>
      <c r="C12" s="301"/>
      <c r="D12" s="301"/>
      <c r="E12" s="301"/>
      <c r="F12" s="301"/>
      <c r="G12" s="306"/>
    </row>
    <row r="13" spans="2:7" x14ac:dyDescent="0.2">
      <c r="B13" s="304"/>
      <c r="C13" s="301"/>
      <c r="D13" s="301"/>
      <c r="E13" s="301"/>
      <c r="F13" s="301"/>
      <c r="G13" s="306"/>
    </row>
    <row r="14" spans="2:7" x14ac:dyDescent="0.2">
      <c r="B14" s="304"/>
      <c r="C14" s="301"/>
      <c r="D14" s="301"/>
      <c r="E14" s="301"/>
      <c r="F14" s="301"/>
      <c r="G14" s="306"/>
    </row>
    <row r="15" spans="2:7" x14ac:dyDescent="0.2">
      <c r="B15" s="308"/>
      <c r="C15" s="301"/>
      <c r="D15" s="301"/>
      <c r="E15" s="301"/>
      <c r="F15" s="301"/>
      <c r="G15" s="306"/>
    </row>
    <row r="16" spans="2:7" x14ac:dyDescent="0.2">
      <c r="B16" s="304"/>
      <c r="C16" s="301"/>
      <c r="D16" s="301"/>
      <c r="E16" s="301"/>
      <c r="F16" s="301"/>
      <c r="G16" s="306"/>
    </row>
    <row r="17" spans="2:7" x14ac:dyDescent="0.2">
      <c r="B17" s="304"/>
      <c r="C17" s="301"/>
      <c r="D17" s="301"/>
      <c r="E17" s="301"/>
      <c r="F17" s="301"/>
      <c r="G17" s="306"/>
    </row>
    <row r="18" spans="2:7" x14ac:dyDescent="0.2">
      <c r="B18" s="308"/>
      <c r="C18" s="301"/>
      <c r="D18" s="301"/>
      <c r="E18" s="301"/>
      <c r="F18" s="301"/>
      <c r="G18" s="306"/>
    </row>
    <row r="19" spans="2:7" x14ac:dyDescent="0.2">
      <c r="B19" s="304"/>
      <c r="C19" s="301"/>
      <c r="D19" s="301"/>
      <c r="E19" s="301"/>
      <c r="F19" s="301"/>
      <c r="G19" s="306"/>
    </row>
    <row r="20" spans="2:7" x14ac:dyDescent="0.2">
      <c r="B20" s="304"/>
      <c r="C20" s="301"/>
      <c r="D20" s="301"/>
      <c r="E20" s="301"/>
      <c r="F20" s="301"/>
      <c r="G20" s="306"/>
    </row>
    <row r="21" spans="2:7" x14ac:dyDescent="0.2">
      <c r="B21" s="308"/>
      <c r="C21" s="301"/>
      <c r="D21" s="301"/>
      <c r="E21" s="301"/>
      <c r="F21" s="301"/>
      <c r="G21" s="306"/>
    </row>
    <row r="22" spans="2:7" x14ac:dyDescent="0.2">
      <c r="B22" s="307"/>
      <c r="C22" s="301"/>
      <c r="D22" s="301"/>
      <c r="E22" s="301"/>
      <c r="F22" s="301"/>
      <c r="G22" s="301"/>
    </row>
    <row r="23" spans="2:7" x14ac:dyDescent="0.2">
      <c r="B23" s="301"/>
    </row>
    <row r="25" spans="2:7" x14ac:dyDescent="0.2">
      <c r="B25" s="301"/>
    </row>
  </sheetData>
  <sheetProtection algorithmName="SHA-512" hashValue="rQhy48etQk5DQjNL0evKEBZ1/hjX5VSsXNWKgyVmWQrya0qg9ExjZWH2xJn57d0YUVCS5En6nEjHyLsq7W56ew==" saltValue="M0fymT9p5GYLBWeB0gQJS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A3"/>
  <sheetViews>
    <sheetView workbookViewId="0">
      <selection activeCell="D9" sqref="D9"/>
    </sheetView>
  </sheetViews>
  <sheetFormatPr defaultRowHeight="15" x14ac:dyDescent="0.2"/>
  <sheetData>
    <row r="1" spans="1:1" x14ac:dyDescent="0.2">
      <c r="A1" s="23" t="s">
        <v>326</v>
      </c>
    </row>
    <row r="3" spans="1:1" x14ac:dyDescent="0.2">
      <c r="A3" s="23" t="s">
        <v>328</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39997558519241921"/>
  </sheetPr>
  <dimension ref="A1:G29"/>
  <sheetViews>
    <sheetView view="pageBreakPreview" zoomScale="130" zoomScaleNormal="100" zoomScaleSheetLayoutView="130" workbookViewId="0">
      <selection activeCell="C17" sqref="C17"/>
    </sheetView>
  </sheetViews>
  <sheetFormatPr defaultColWidth="8.88671875" defaultRowHeight="15" x14ac:dyDescent="0.2"/>
  <cols>
    <col min="1" max="1" width="36" style="48" customWidth="1"/>
    <col min="2" max="2" width="1" style="48" customWidth="1"/>
    <col min="3" max="3" width="11.77734375" style="48" customWidth="1"/>
    <col min="4" max="4" width="2.33203125" style="48" customWidth="1"/>
    <col min="5" max="5" width="11.44140625" style="48" customWidth="1"/>
    <col min="6" max="6" width="8.88671875" style="48"/>
    <col min="7" max="7" width="11.21875" style="48" bestFit="1" customWidth="1"/>
    <col min="8" max="16384" width="8.88671875" style="48"/>
  </cols>
  <sheetData>
    <row r="1" spans="1:7" ht="15.75" x14ac:dyDescent="0.25">
      <c r="A1" s="366" t="s">
        <v>131</v>
      </c>
    </row>
    <row r="2" spans="1:7" ht="18" x14ac:dyDescent="0.25">
      <c r="A2" s="299" t="s">
        <v>6</v>
      </c>
      <c r="F2" s="300" t="s">
        <v>18</v>
      </c>
    </row>
    <row r="3" spans="1:7" ht="18" x14ac:dyDescent="0.25">
      <c r="A3" s="299"/>
      <c r="C3" s="309" t="s">
        <v>138</v>
      </c>
      <c r="E3" s="309" t="s">
        <v>138</v>
      </c>
      <c r="F3" s="300" t="str">
        <f>'NPL Assoc. w LEA'!F3</f>
        <v>Password for protected sheet: BOE2024</v>
      </c>
    </row>
    <row r="4" spans="1:7" x14ac:dyDescent="0.2">
      <c r="A4" s="299"/>
      <c r="C4" s="309" t="s">
        <v>139</v>
      </c>
      <c r="E4" s="309" t="s">
        <v>140</v>
      </c>
    </row>
    <row r="5" spans="1:7" ht="15.75" thickBot="1" x14ac:dyDescent="0.25">
      <c r="B5" s="310"/>
      <c r="C5" s="311" t="s">
        <v>133</v>
      </c>
      <c r="E5" s="311" t="s">
        <v>132</v>
      </c>
    </row>
    <row r="6" spans="1:7" x14ac:dyDescent="0.2">
      <c r="B6" s="310"/>
      <c r="C6" s="309"/>
      <c r="E6" s="309"/>
    </row>
    <row r="7" spans="1:7" x14ac:dyDescent="0.2">
      <c r="A7" s="301" t="s">
        <v>134</v>
      </c>
      <c r="B7" s="302"/>
      <c r="C7" s="302"/>
      <c r="D7" s="303"/>
      <c r="E7" s="302"/>
      <c r="F7" s="303"/>
      <c r="G7" s="303"/>
    </row>
    <row r="8" spans="1:7" x14ac:dyDescent="0.2">
      <c r="A8" s="304" t="s">
        <v>135</v>
      </c>
      <c r="B8" s="302"/>
      <c r="C8" s="525">
        <f>IF('GASB 68 JEs'!I9="LEA",ROUND('Net LEA Amounts'!G31,0),IF('GASB 68 JEs'!I9="MCVC",ROUND('Net LEA Amounts'!G29,0),0))</f>
        <v>0</v>
      </c>
      <c r="D8" s="526"/>
      <c r="E8" s="527">
        <f>IF('GASB 68 JEs'!I9="LEA",ROUND('Net LEA Amounts'!Q31,0),IF('GASB 68 JEs'!I9="MCVC",ROUND('Net LEA Amounts'!Q29,0),0))</f>
        <v>0</v>
      </c>
      <c r="F8" s="303"/>
      <c r="G8" s="303"/>
    </row>
    <row r="9" spans="1:7" x14ac:dyDescent="0.2">
      <c r="A9" s="301" t="s">
        <v>381</v>
      </c>
      <c r="B9" s="302"/>
      <c r="C9" s="528">
        <f>IF('GASB 68 JEs'!I9="LEA",ROUND('Net LEA Amounts'!E31,0),IF('GASB 68 JEs'!I9="MCVC",ROUND('Net LEA Amounts'!E29,0),0))</f>
        <v>0</v>
      </c>
      <c r="D9" s="529"/>
      <c r="E9" s="528">
        <f>IF('GASB 68 JEs'!I9="LEA",ROUND('Net LEA Amounts'!O31,0),IF('GASB 68 JEs'!I9="RESA",ROUND('Net LEA Amounts'!#REF!,0),IF('GASB 68 JEs'!I9="MCVC",ROUND('Net LEA Amounts'!O29,0),0)))</f>
        <v>0</v>
      </c>
      <c r="F9" s="303"/>
      <c r="G9" s="303"/>
    </row>
    <row r="10" spans="1:7" x14ac:dyDescent="0.2">
      <c r="A10" s="301" t="s">
        <v>136</v>
      </c>
      <c r="B10" s="7"/>
      <c r="C10" s="528"/>
      <c r="D10" s="530"/>
      <c r="E10" s="528"/>
      <c r="F10" s="426"/>
      <c r="G10" s="393"/>
    </row>
    <row r="11" spans="1:7" x14ac:dyDescent="0.2">
      <c r="A11" s="304" t="s">
        <v>137</v>
      </c>
      <c r="B11" s="4"/>
      <c r="C11" s="528">
        <f>IF('GASB 68 JEs'!I9="LEA",ROUND('Net LEA Amounts'!I31,0),IF('GASB 68 JEs'!I9="RESA",ROUND('Net LEA Amounts'!#REF!,0),IF('GASB 68 JEs'!I9="MCVC",ROUND('Net LEA Amounts'!I29,0),0)))</f>
        <v>0</v>
      </c>
      <c r="D11" s="528"/>
      <c r="E11" s="528">
        <f>IF('GASB 68 JEs'!I9="LEA",ROUND('Net LEA Amounts'!S31,0),IF('GASB 68 JEs'!I9="RESA",ROUND('Net LEA Amounts'!#REF!,0),IF('GASB 68 JEs'!I9="MCVC",ROUND('Net LEA Amounts'!S29,0),0)))</f>
        <v>0</v>
      </c>
      <c r="F11" s="301"/>
      <c r="G11" s="306"/>
    </row>
    <row r="12" spans="1:7" x14ac:dyDescent="0.2">
      <c r="A12" s="301" t="s">
        <v>456</v>
      </c>
      <c r="B12" s="4"/>
      <c r="C12" s="528">
        <f>IF('GASB 68 JEs'!I9="LEA",ROUND('Net LEA Amounts'!K31,0),IF('GASB 68 JEs'!I9="RESA",ROUND('Net LEA Amounts'!#REF!,0),IF('GASB 68 JEs'!I9="MCVC",ROUND('Net LEA Amounts'!K29,0),0)))</f>
        <v>0</v>
      </c>
      <c r="D12" s="528"/>
      <c r="E12" s="528">
        <f>IF('GASB 68 JEs'!I9="LEA",ROUND('Net LEA Amounts'!U31,0),IF('GASB 68 JEs'!I9="RESA",ROUND('Net LEA Amounts'!#REF!,0),IF('GASB 68 JEs'!I9="MCVC",ROUND('Net LEA Amounts'!U29,0),0)))</f>
        <v>0</v>
      </c>
      <c r="F12" s="301"/>
      <c r="G12" s="306"/>
    </row>
    <row r="13" spans="1:7" x14ac:dyDescent="0.2">
      <c r="A13" s="301" t="s">
        <v>457</v>
      </c>
      <c r="B13" s="4"/>
      <c r="C13" s="528">
        <f>ROUND('GASB 68 JEs'!D26,0)</f>
        <v>0</v>
      </c>
      <c r="D13" s="528"/>
      <c r="E13" s="528">
        <f>ROUND('GASB 68 JEs'!F26,0)</f>
        <v>0</v>
      </c>
      <c r="F13" s="301"/>
      <c r="G13" s="306"/>
    </row>
    <row r="14" spans="1:7" ht="15.75" thickBot="1" x14ac:dyDescent="0.25">
      <c r="A14" s="510" t="s">
        <v>5</v>
      </c>
      <c r="B14" s="510"/>
      <c r="C14" s="331">
        <f>SUM(C7:C13)</f>
        <v>0</v>
      </c>
      <c r="D14" s="332"/>
      <c r="E14" s="331">
        <f>SUM(E7:E13)</f>
        <v>0</v>
      </c>
      <c r="F14" s="332"/>
      <c r="G14" s="306"/>
    </row>
    <row r="15" spans="1:7" ht="5.25" customHeight="1" thickTop="1" x14ac:dyDescent="0.2">
      <c r="A15" s="304"/>
      <c r="B15" s="306"/>
      <c r="C15" s="312"/>
      <c r="D15" s="301"/>
      <c r="E15" s="301"/>
      <c r="F15" s="301"/>
      <c r="G15" s="306"/>
    </row>
    <row r="16" spans="1:7" x14ac:dyDescent="0.2">
      <c r="A16" s="304"/>
      <c r="B16" s="301"/>
      <c r="C16" s="312"/>
      <c r="D16" s="301"/>
      <c r="E16" s="301"/>
      <c r="F16" s="301"/>
      <c r="G16" s="306"/>
    </row>
    <row r="17" spans="1:7" x14ac:dyDescent="0.2">
      <c r="A17" s="304" t="s">
        <v>382</v>
      </c>
      <c r="B17" s="301"/>
      <c r="C17" s="531">
        <f>'[1]DW Net Position'!$C$44</f>
        <v>0</v>
      </c>
      <c r="D17" s="301"/>
      <c r="E17" s="531">
        <f>'[1]DW Net Position'!$C$81</f>
        <v>0</v>
      </c>
      <c r="F17" s="301"/>
      <c r="G17" s="306"/>
    </row>
    <row r="18" spans="1:7" ht="15.75" thickBot="1" x14ac:dyDescent="0.25">
      <c r="A18" s="92" t="s">
        <v>383</v>
      </c>
      <c r="B18" s="301"/>
      <c r="C18" s="532">
        <f>C14-C17</f>
        <v>0</v>
      </c>
      <c r="D18" s="533"/>
      <c r="E18" s="532">
        <f>E14-E17</f>
        <v>0</v>
      </c>
      <c r="F18" s="301"/>
      <c r="G18" s="306"/>
    </row>
    <row r="19" spans="1:7" ht="15.75" thickTop="1" x14ac:dyDescent="0.2">
      <c r="A19" s="308"/>
      <c r="B19" s="301"/>
      <c r="C19" s="301"/>
      <c r="D19" s="301"/>
      <c r="E19" s="301"/>
      <c r="F19" s="301"/>
      <c r="G19" s="306"/>
    </row>
    <row r="20" spans="1:7" x14ac:dyDescent="0.2">
      <c r="A20" s="304"/>
      <c r="B20" s="301"/>
      <c r="C20" s="301"/>
      <c r="D20" s="301"/>
      <c r="E20" s="301"/>
      <c r="F20" s="301"/>
      <c r="G20" s="306"/>
    </row>
    <row r="21" spans="1:7" x14ac:dyDescent="0.2">
      <c r="A21" s="304"/>
      <c r="B21" s="301"/>
      <c r="C21" s="301"/>
      <c r="D21" s="301"/>
      <c r="E21" s="301"/>
      <c r="F21" s="301"/>
      <c r="G21" s="306"/>
    </row>
    <row r="22" spans="1:7" x14ac:dyDescent="0.2">
      <c r="A22" s="308"/>
      <c r="B22" s="301"/>
      <c r="C22" s="301"/>
      <c r="D22" s="301"/>
      <c r="E22" s="301"/>
      <c r="F22" s="301"/>
      <c r="G22" s="306"/>
    </row>
    <row r="23" spans="1:7" x14ac:dyDescent="0.2">
      <c r="A23" s="304"/>
      <c r="B23" s="301"/>
      <c r="C23" s="301"/>
      <c r="D23" s="301"/>
      <c r="E23" s="301"/>
      <c r="F23" s="301"/>
      <c r="G23" s="306"/>
    </row>
    <row r="24" spans="1:7" x14ac:dyDescent="0.2">
      <c r="A24" s="304"/>
      <c r="B24" s="301"/>
      <c r="C24" s="301"/>
      <c r="D24" s="301"/>
      <c r="E24" s="301"/>
      <c r="F24" s="301"/>
      <c r="G24" s="306"/>
    </row>
    <row r="25" spans="1:7" x14ac:dyDescent="0.2">
      <c r="A25" s="308"/>
      <c r="B25" s="301"/>
      <c r="C25" s="301"/>
      <c r="D25" s="301"/>
      <c r="E25" s="301"/>
      <c r="F25" s="301"/>
      <c r="G25" s="306"/>
    </row>
    <row r="26" spans="1:7" x14ac:dyDescent="0.2">
      <c r="A26" s="307"/>
      <c r="B26" s="301"/>
      <c r="C26" s="301"/>
      <c r="D26" s="301"/>
      <c r="E26" s="301"/>
      <c r="F26" s="301"/>
      <c r="G26" s="301"/>
    </row>
    <row r="27" spans="1:7" x14ac:dyDescent="0.2">
      <c r="A27" s="301"/>
    </row>
    <row r="29" spans="1:7" x14ac:dyDescent="0.2">
      <c r="A29" s="301"/>
    </row>
  </sheetData>
  <sheetProtection algorithmName="SHA-512" hashValue="G1QFcNqgzvLx5HbfydxCvPPiHYkDh4ORbX5Md4Jsp3uAHBwJlLABsEeCpnuST3uVb7ryoGjboEq/nn3AoMT40w==" saltValue="BrTCyYEHkGY+RQrTVOpu1A==" spinCount="100000" sheet="1" objects="1" scenarios="1"/>
  <mergeCells count="1">
    <mergeCell ref="A14:B14"/>
  </mergeCells>
  <pageMargins left="0.7" right="0.7" top="0.75" bottom="0.75" header="0.3" footer="0.3"/>
  <pageSetup orientation="portrait" r:id="rId1"/>
  <cellWatches>
    <cellWatch r="C18"/>
    <cellWatch r="E18"/>
  </cellWatche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39997558519241921"/>
  </sheetPr>
  <dimension ref="A1:O33"/>
  <sheetViews>
    <sheetView view="pageBreakPreview" zoomScaleNormal="100" zoomScaleSheetLayoutView="100" workbookViewId="0">
      <selection activeCell="C14" sqref="C14"/>
    </sheetView>
  </sheetViews>
  <sheetFormatPr defaultColWidth="8.88671875" defaultRowHeight="15" x14ac:dyDescent="0.2"/>
  <cols>
    <col min="1" max="1" width="16.21875" style="48" customWidth="1"/>
    <col min="2" max="2" width="1" style="48" customWidth="1"/>
    <col min="3" max="3" width="15.77734375" style="48" customWidth="1"/>
    <col min="4" max="4" width="1.33203125" style="48" customWidth="1"/>
    <col min="5" max="5" width="15.77734375" style="48" customWidth="1"/>
    <col min="6" max="6" width="2.109375" style="48" customWidth="1"/>
    <col min="7" max="7" width="17.44140625" style="48" bestFit="1" customWidth="1"/>
    <col min="8" max="8" width="1" style="48" customWidth="1"/>
    <col min="9" max="9" width="3.21875" style="48" customWidth="1"/>
    <col min="10" max="10" width="18" style="48" customWidth="1"/>
    <col min="11" max="11" width="1.77734375" style="48" customWidth="1"/>
    <col min="12" max="12" width="19.6640625" style="48" customWidth="1"/>
    <col min="13" max="13" width="2.77734375" style="48" customWidth="1"/>
    <col min="14" max="14" width="14.88671875" style="48" customWidth="1"/>
    <col min="15" max="15" width="4.33203125" style="48" customWidth="1"/>
    <col min="16" max="16384" width="8.88671875" style="48"/>
  </cols>
  <sheetData>
    <row r="1" spans="1:15" ht="15.75" x14ac:dyDescent="0.25">
      <c r="A1" s="366" t="s">
        <v>141</v>
      </c>
    </row>
    <row r="2" spans="1:15" ht="18" x14ac:dyDescent="0.25">
      <c r="A2" s="299" t="s">
        <v>6</v>
      </c>
      <c r="I2" s="300" t="s">
        <v>18</v>
      </c>
    </row>
    <row r="3" spans="1:15" ht="18" x14ac:dyDescent="0.25">
      <c r="A3" s="299"/>
      <c r="C3" s="309"/>
      <c r="E3" s="309"/>
      <c r="F3" s="309"/>
      <c r="I3" s="300" t="str">
        <f>'Pension Deferred In_outflows'!F3</f>
        <v>Password for protected sheet: BOE2024</v>
      </c>
    </row>
    <row r="4" spans="1:15" x14ac:dyDescent="0.2">
      <c r="A4" s="299"/>
      <c r="C4" s="309"/>
      <c r="E4" s="309"/>
      <c r="F4" s="309"/>
    </row>
    <row r="5" spans="1:15" ht="15.75" thickBot="1" x14ac:dyDescent="0.25">
      <c r="A5" s="311" t="s">
        <v>142</v>
      </c>
      <c r="B5" s="310"/>
      <c r="C5" s="309"/>
      <c r="D5" s="310"/>
      <c r="E5" s="309"/>
      <c r="F5" s="309"/>
    </row>
    <row r="6" spans="1:15" x14ac:dyDescent="0.2">
      <c r="A6" s="313">
        <f>'Change in Proportion - LEA'!C10+1</f>
        <v>2025</v>
      </c>
      <c r="B6" s="314"/>
      <c r="C6" s="42">
        <f t="shared" ref="C6:C11" si="0">G26</f>
        <v>0</v>
      </c>
      <c r="D6" s="314"/>
      <c r="E6" s="42"/>
      <c r="F6" s="42"/>
      <c r="G6" s="303"/>
      <c r="I6" s="315" t="s">
        <v>447</v>
      </c>
      <c r="J6" s="316"/>
      <c r="K6" s="316"/>
      <c r="L6" s="316"/>
      <c r="M6" s="316"/>
      <c r="N6" s="316"/>
      <c r="O6" s="317"/>
    </row>
    <row r="7" spans="1:15" x14ac:dyDescent="0.2">
      <c r="A7" s="313">
        <f>A6+1</f>
        <v>2026</v>
      </c>
      <c r="B7" s="314"/>
      <c r="C7" s="282">
        <f t="shared" si="0"/>
        <v>0</v>
      </c>
      <c r="D7" s="314"/>
      <c r="E7" s="2"/>
      <c r="F7" s="2"/>
      <c r="G7" s="303"/>
      <c r="H7" s="303"/>
      <c r="I7" s="318" t="s">
        <v>402</v>
      </c>
      <c r="O7" s="319"/>
    </row>
    <row r="8" spans="1:15" x14ac:dyDescent="0.2">
      <c r="A8" s="313">
        <f>A7+1</f>
        <v>2027</v>
      </c>
      <c r="B8" s="3"/>
      <c r="C8" s="282">
        <f>G28</f>
        <v>0</v>
      </c>
      <c r="D8" s="3"/>
      <c r="E8" s="2"/>
      <c r="F8" s="2"/>
      <c r="H8" s="303"/>
      <c r="I8" s="318" t="s">
        <v>405</v>
      </c>
      <c r="O8" s="319"/>
    </row>
    <row r="9" spans="1:15" x14ac:dyDescent="0.2">
      <c r="A9" s="313">
        <f>A8+1</f>
        <v>2028</v>
      </c>
      <c r="B9" s="2"/>
      <c r="C9" s="282">
        <f t="shared" si="0"/>
        <v>0</v>
      </c>
      <c r="D9" s="2"/>
      <c r="E9" s="2"/>
      <c r="F9" s="2"/>
      <c r="G9" s="301"/>
      <c r="I9" s="318" t="s">
        <v>416</v>
      </c>
      <c r="O9" s="319"/>
    </row>
    <row r="10" spans="1:15" x14ac:dyDescent="0.2">
      <c r="A10" s="313">
        <f>A9+1</f>
        <v>2029</v>
      </c>
      <c r="B10" s="2"/>
      <c r="C10" s="282">
        <f t="shared" si="0"/>
        <v>0</v>
      </c>
      <c r="D10" s="2"/>
      <c r="E10" s="2"/>
      <c r="F10" s="2"/>
      <c r="G10" s="301"/>
      <c r="H10" s="301"/>
      <c r="I10" s="318" t="s">
        <v>406</v>
      </c>
      <c r="O10" s="319"/>
    </row>
    <row r="11" spans="1:15" x14ac:dyDescent="0.2">
      <c r="A11" s="313" t="s">
        <v>143</v>
      </c>
      <c r="B11" s="2"/>
      <c r="C11" s="282">
        <f t="shared" si="0"/>
        <v>0</v>
      </c>
      <c r="D11" s="2"/>
      <c r="E11" s="2"/>
      <c r="F11" s="2"/>
      <c r="G11" s="301"/>
      <c r="H11" s="301"/>
      <c r="I11" s="318" t="s">
        <v>407</v>
      </c>
      <c r="O11" s="319"/>
    </row>
    <row r="12" spans="1:15" ht="15.75" thickBot="1" x14ac:dyDescent="0.25">
      <c r="A12" s="320" t="s">
        <v>5</v>
      </c>
      <c r="B12" s="320"/>
      <c r="C12" s="331">
        <f>SUM(C6:C11)</f>
        <v>0</v>
      </c>
      <c r="D12" s="320"/>
      <c r="E12" s="321"/>
      <c r="F12" s="321"/>
      <c r="G12" s="301"/>
      <c r="H12" s="301"/>
      <c r="I12" s="318" t="s">
        <v>417</v>
      </c>
      <c r="O12" s="319"/>
    </row>
    <row r="13" spans="1:15" ht="15.75" thickTop="1" x14ac:dyDescent="0.2">
      <c r="A13" s="304"/>
      <c r="B13" s="306"/>
      <c r="C13" s="301"/>
      <c r="D13" s="306"/>
      <c r="E13" s="301"/>
      <c r="F13" s="301"/>
      <c r="G13" s="301"/>
      <c r="H13" s="301"/>
      <c r="I13" s="318" t="s">
        <v>408</v>
      </c>
      <c r="O13" s="319"/>
    </row>
    <row r="14" spans="1:15" ht="15.75" thickBot="1" x14ac:dyDescent="0.25">
      <c r="A14" s="304"/>
      <c r="B14" s="306"/>
      <c r="C14" s="5">
        <f>'Pension Deferred In_outflows'!C17-'Pension Deferred In_outflows'!E17</f>
        <v>0</v>
      </c>
      <c r="D14" s="441" t="s">
        <v>403</v>
      </c>
      <c r="E14" s="442"/>
      <c r="F14" s="442"/>
      <c r="G14" s="442"/>
      <c r="H14" s="301"/>
      <c r="I14" s="322" t="s">
        <v>448</v>
      </c>
      <c r="J14" s="323"/>
      <c r="K14" s="323"/>
      <c r="L14" s="323"/>
      <c r="M14" s="323"/>
      <c r="N14" s="323"/>
      <c r="O14" s="324"/>
    </row>
    <row r="15" spans="1:15" x14ac:dyDescent="0.2">
      <c r="A15" s="344"/>
      <c r="B15" s="306"/>
      <c r="C15" s="8">
        <f>-'GASB 68 JEs'!D26</f>
        <v>0</v>
      </c>
      <c r="D15" s="441" t="s">
        <v>410</v>
      </c>
      <c r="E15" s="443"/>
      <c r="F15" s="442"/>
      <c r="G15" s="442"/>
      <c r="H15" s="301"/>
      <c r="I15" s="306"/>
    </row>
    <row r="16" spans="1:15" x14ac:dyDescent="0.2">
      <c r="A16" s="304"/>
      <c r="B16" s="306"/>
      <c r="C16" s="5">
        <f>SUM(C14:C15)</f>
        <v>0</v>
      </c>
      <c r="D16" s="441" t="s">
        <v>409</v>
      </c>
      <c r="E16" s="443"/>
      <c r="F16" s="442"/>
      <c r="G16" s="442"/>
      <c r="H16" s="301"/>
      <c r="I16" s="306"/>
    </row>
    <row r="17" spans="1:12" ht="15.75" thickBot="1" x14ac:dyDescent="0.25">
      <c r="A17" s="304"/>
      <c r="B17" s="306"/>
      <c r="C17" s="16">
        <f>C12-C16</f>
        <v>0</v>
      </c>
      <c r="D17" s="441" t="s">
        <v>404</v>
      </c>
      <c r="E17" s="442"/>
      <c r="F17" s="442"/>
      <c r="G17" s="442"/>
      <c r="H17" s="301"/>
      <c r="I17" s="306"/>
    </row>
    <row r="18" spans="1:12" ht="15.75" thickTop="1" x14ac:dyDescent="0.2">
      <c r="A18" s="304"/>
      <c r="B18" s="301"/>
      <c r="C18" s="343"/>
      <c r="D18" s="301"/>
      <c r="E18" s="306"/>
      <c r="F18" s="306"/>
      <c r="H18" s="301"/>
      <c r="I18" s="306"/>
    </row>
    <row r="20" spans="1:12" x14ac:dyDescent="0.2">
      <c r="C20" s="325" t="s">
        <v>388</v>
      </c>
      <c r="E20" s="325" t="s">
        <v>388</v>
      </c>
      <c r="G20" s="325"/>
    </row>
    <row r="21" spans="1:12" x14ac:dyDescent="0.2">
      <c r="C21" s="325" t="s">
        <v>389</v>
      </c>
      <c r="E21" s="325" t="s">
        <v>389</v>
      </c>
      <c r="G21" s="325"/>
      <c r="H21" s="325"/>
      <c r="L21" s="393"/>
    </row>
    <row r="22" spans="1:12" x14ac:dyDescent="0.2">
      <c r="C22" s="325" t="s">
        <v>390</v>
      </c>
      <c r="E22" s="325" t="s">
        <v>391</v>
      </c>
      <c r="G22" s="325"/>
      <c r="H22" s="325"/>
    </row>
    <row r="23" spans="1:12" x14ac:dyDescent="0.2">
      <c r="C23" s="325" t="s">
        <v>386</v>
      </c>
      <c r="E23" s="325" t="s">
        <v>392</v>
      </c>
      <c r="G23" s="325" t="s">
        <v>394</v>
      </c>
      <c r="H23" s="325"/>
    </row>
    <row r="24" spans="1:12" ht="15.75" thickBot="1" x14ac:dyDescent="0.25">
      <c r="A24" s="311" t="s">
        <v>142</v>
      </c>
      <c r="C24" s="326" t="s">
        <v>387</v>
      </c>
      <c r="E24" s="326" t="s">
        <v>393</v>
      </c>
      <c r="G24" s="326" t="s">
        <v>395</v>
      </c>
      <c r="H24" s="325"/>
    </row>
    <row r="25" spans="1:12" x14ac:dyDescent="0.2">
      <c r="A25" s="313"/>
      <c r="C25" s="26"/>
      <c r="D25" s="26"/>
      <c r="E25" s="26"/>
      <c r="F25" s="26"/>
      <c r="G25" s="26"/>
      <c r="H25" s="325"/>
    </row>
    <row r="26" spans="1:12" x14ac:dyDescent="0.2">
      <c r="A26" s="313">
        <f>'Change in Proportion - LEA'!C10+1</f>
        <v>2025</v>
      </c>
      <c r="C26" s="155">
        <f>IF('GASB 68 JEs'!$I$9="LEA",'Change in Proportion - LEA'!C77,IF('GASB 68 JEs'!$I$9="RESA",'Change in Proportion - RESAs'!C71,IF('GASB 68 JEs'!$I$9="MCVC",'Change in Proportion - MCVCs'!C71,0)))</f>
        <v>0</v>
      </c>
      <c r="D26" s="155"/>
      <c r="E26" s="155">
        <f>IF('GASB 68 JEs'!$I$9="LEA",ROUND('Amortization Input CY'!F19,0),IF('GASB 68 JEs'!$I$9="RESA",ROUND('Amortization Input CY'!H19,0),IF('GASB 68 JEs'!$I$9="MCVC",ROUND('Amortization Input CY'!J19,0))))</f>
        <v>0</v>
      </c>
      <c r="F26" s="155"/>
      <c r="G26" s="155">
        <f t="shared" ref="G26:G31" si="1">SUM(C26:E26)</f>
        <v>0</v>
      </c>
      <c r="H26" s="26"/>
    </row>
    <row r="27" spans="1:12" x14ac:dyDescent="0.2">
      <c r="A27" s="313">
        <f>A26+1</f>
        <v>2026</v>
      </c>
      <c r="C27" s="155">
        <f>IF('GASB 68 JEs'!$I$9="LEA",'Change in Proportion - LEA'!C78,IF('GASB 68 JEs'!$I$9="RESA",'Change in Proportion - RESAs'!C72,IF('GASB 68 JEs'!$I$9="MCVC",'Change in Proportion - MCVCs'!C72,0)))</f>
        <v>0</v>
      </c>
      <c r="D27" s="155"/>
      <c r="E27" s="155">
        <f>IF('GASB 68 JEs'!$I$9="LEA",ROUND('Amortization Input CY'!F20,0),IF('GASB 68 JEs'!$I$9="RESA",ROUND('Amortization Input CY'!H20,0),IF('GASB 68 JEs'!$I$9="MCVC",ROUND('Amortization Input CY'!J20,0))))</f>
        <v>0</v>
      </c>
      <c r="F27" s="155"/>
      <c r="G27" s="155">
        <f t="shared" si="1"/>
        <v>0</v>
      </c>
      <c r="H27" s="155"/>
    </row>
    <row r="28" spans="1:12" x14ac:dyDescent="0.2">
      <c r="A28" s="313">
        <f>A27+1</f>
        <v>2027</v>
      </c>
      <c r="C28" s="155">
        <f>IF('GASB 68 JEs'!$I$9="LEA",'Change in Proportion - LEA'!C79,IF('GASB 68 JEs'!$I$9="RESA",'Change in Proportion - RESAs'!C73,IF('GASB 68 JEs'!$I$9="MCVC",'Change in Proportion - MCVCs'!C73,0)))</f>
        <v>0</v>
      </c>
      <c r="D28" s="155"/>
      <c r="E28" s="155">
        <f>IF('GASB 68 JEs'!$I$9="LEA",ROUND('Amortization Input CY'!F21,0),IF('GASB 68 JEs'!$I$9="RESA",ROUND('Amortization Input CY'!H21,0),IF('GASB 68 JEs'!$I$9="MCVC",ROUND('Amortization Input CY'!J21,0))))</f>
        <v>0</v>
      </c>
      <c r="F28" s="155"/>
      <c r="G28" s="155">
        <f t="shared" si="1"/>
        <v>0</v>
      </c>
      <c r="H28" s="155"/>
    </row>
    <row r="29" spans="1:12" x14ac:dyDescent="0.2">
      <c r="A29" s="313">
        <f>A28+1</f>
        <v>2028</v>
      </c>
      <c r="C29" s="155">
        <f>IF('GASB 68 JEs'!$I$9="LEA",'Change in Proportion - LEA'!C80,IF('GASB 68 JEs'!$I$9="RESA",'Change in Proportion - RESAs'!C74,IF('GASB 68 JEs'!$I$9="MCVC",'Change in Proportion - MCVCs'!C74,0)))</f>
        <v>0</v>
      </c>
      <c r="D29" s="155"/>
      <c r="E29" s="155">
        <f>IF('GASB 68 JEs'!$I$9="LEA",ROUND('Amortization Input CY'!F22,0),IF('GASB 68 JEs'!$I$9="RESA",ROUND('Amortization Input CY'!H22,0),IF('GASB 68 JEs'!$I$9="MCVC",ROUND('Amortization Input CY'!J22,0))))</f>
        <v>0</v>
      </c>
      <c r="F29" s="155"/>
      <c r="G29" s="155">
        <f t="shared" si="1"/>
        <v>0</v>
      </c>
      <c r="H29" s="155"/>
    </row>
    <row r="30" spans="1:12" x14ac:dyDescent="0.2">
      <c r="A30" s="313">
        <f>A29+1</f>
        <v>2029</v>
      </c>
      <c r="C30" s="155">
        <f>IF('GASB 68 JEs'!$I$9="LEA",'Change in Proportion - LEA'!C81,IF('GASB 68 JEs'!$I$9="RESA",'Change in Proportion - RESAs'!C75,IF('GASB 68 JEs'!$I$9="MCVC",'Change in Proportion - MCVCs'!C75,0)))</f>
        <v>0</v>
      </c>
      <c r="D30" s="155"/>
      <c r="E30" s="155">
        <f>IF('GASB 68 JEs'!$I$9="LEA",ROUND('Amortization Input CY'!F23,0),IF('GASB 68 JEs'!$I$9="RESA",ROUND('Amortization Input CY'!H23,0),IF('GASB 68 JEs'!$I$9="MCVC",ROUND('Amortization Input CY'!J23,0))))</f>
        <v>0</v>
      </c>
      <c r="F30" s="155"/>
      <c r="G30" s="155">
        <f t="shared" si="1"/>
        <v>0</v>
      </c>
      <c r="H30" s="155"/>
    </row>
    <row r="31" spans="1:12" x14ac:dyDescent="0.2">
      <c r="A31" s="313" t="s">
        <v>143</v>
      </c>
      <c r="C31" s="155">
        <f>IF('GASB 68 JEs'!$I$9="LEA",'Change in Proportion - LEA'!C82,IF('GASB 68 JEs'!$I$9="RESA",'Change in Proportion - RESAs'!C76,IF('GASB 68 JEs'!$I$9="MCVC",'Change in Proportion - MCVCs'!C76,0)))</f>
        <v>0</v>
      </c>
      <c r="D31" s="155"/>
      <c r="E31" s="155">
        <f>IF('GASB 68 JEs'!$I$9="LEA",ROUND('Amortization Input CY'!F24,0),IF('GASB 68 JEs'!$I$9="RESA",ROUND('Amortization Input CY'!H24,0),IF('GASB 68 JEs'!$I$9="MCVC",ROUND('Amortization Input CY'!J24,0))))</f>
        <v>0</v>
      </c>
      <c r="F31" s="155"/>
      <c r="G31" s="155">
        <f t="shared" si="1"/>
        <v>0</v>
      </c>
      <c r="H31" s="155"/>
    </row>
    <row r="32" spans="1:12" ht="15.75" thickBot="1" x14ac:dyDescent="0.25">
      <c r="A32" s="320" t="s">
        <v>5</v>
      </c>
      <c r="C32" s="156">
        <f>SUM(C25:C31)</f>
        <v>0</v>
      </c>
      <c r="D32" s="155"/>
      <c r="E32" s="156">
        <f>SUM(E25:E31)</f>
        <v>0</v>
      </c>
      <c r="F32" s="155"/>
      <c r="G32" s="156">
        <f>SUM(G25:G31)</f>
        <v>0</v>
      </c>
      <c r="H32" s="155"/>
    </row>
    <row r="33" spans="8:8" ht="15.75" thickTop="1" x14ac:dyDescent="0.2">
      <c r="H33" s="162"/>
    </row>
  </sheetData>
  <sheetProtection algorithmName="SHA-512" hashValue="JjG+4lZePfR0/kTL27aTZHSJy/2Iz+WCk/0puI86HvBgxmm3M+OI8J8LFoZKsaJ0K8iiG/pRJbaBcZAjnkoytw==" saltValue="+M+2/Fi9CKE0JmLDMsA0Hw==" spinCount="100000" sheet="1" objects="1" scenarios="1"/>
  <pageMargins left="0.7" right="0.7" top="0.75" bottom="0.75" header="0.3" footer="0.3"/>
  <pageSetup orientation="portrait" r:id="rId1"/>
  <cellWatches>
    <cellWatch r="C17"/>
  </cellWatche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5" tint="0.39997558519241921"/>
  </sheetPr>
  <dimension ref="A1:I9"/>
  <sheetViews>
    <sheetView view="pageBreakPreview" zoomScale="115" zoomScaleNormal="100" zoomScaleSheetLayoutView="115" workbookViewId="0">
      <selection activeCell="E8" sqref="E8"/>
    </sheetView>
  </sheetViews>
  <sheetFormatPr defaultColWidth="8.88671875" defaultRowHeight="15" x14ac:dyDescent="0.2"/>
  <cols>
    <col min="1" max="1" width="23.5546875" style="48" customWidth="1"/>
    <col min="2" max="2" width="1" style="48" customWidth="1"/>
    <col min="3" max="3" width="11.21875" style="48" customWidth="1"/>
    <col min="4" max="4" width="1" style="48" customWidth="1"/>
    <col min="5" max="5" width="11.21875" style="48" customWidth="1"/>
    <col min="6" max="6" width="1" style="48" customWidth="1"/>
    <col min="7" max="7" width="11.21875" style="48" customWidth="1"/>
    <col min="8" max="8" width="1.33203125" style="48" customWidth="1"/>
    <col min="9" max="9" width="8.88671875" style="48"/>
    <col min="10" max="10" width="19.77734375" style="48" customWidth="1"/>
    <col min="11" max="11" width="2.33203125" style="48" customWidth="1"/>
    <col min="12" max="12" width="18" style="48" customWidth="1"/>
    <col min="13" max="13" width="1.77734375" style="48" customWidth="1"/>
    <col min="14" max="14" width="19.6640625" style="48" customWidth="1"/>
    <col min="15" max="15" width="8.88671875" style="48"/>
    <col min="16" max="16" width="20.44140625" style="48" customWidth="1"/>
    <col min="17" max="16384" width="8.88671875" style="48"/>
  </cols>
  <sheetData>
    <row r="1" spans="1:9" ht="15.75" x14ac:dyDescent="0.25">
      <c r="A1" s="366" t="s">
        <v>147</v>
      </c>
    </row>
    <row r="2" spans="1:9" ht="18" x14ac:dyDescent="0.25">
      <c r="A2" s="299" t="s">
        <v>6</v>
      </c>
      <c r="I2" s="300" t="s">
        <v>18</v>
      </c>
    </row>
    <row r="3" spans="1:9" ht="18" x14ac:dyDescent="0.25">
      <c r="A3" s="299"/>
      <c r="C3" s="309"/>
      <c r="E3" s="309"/>
      <c r="G3" s="309"/>
      <c r="I3" s="300" t="str">
        <f>'Amort. of Def. Amounts'!I3</f>
        <v>Password for protected sheet: BOE2024</v>
      </c>
    </row>
    <row r="4" spans="1:9" x14ac:dyDescent="0.2">
      <c r="A4" s="299"/>
      <c r="C4" s="309" t="s">
        <v>144</v>
      </c>
      <c r="E4" s="309" t="s">
        <v>415</v>
      </c>
      <c r="G4" s="309" t="s">
        <v>153</v>
      </c>
    </row>
    <row r="5" spans="1:9" ht="15.75" thickBot="1" x14ac:dyDescent="0.25">
      <c r="A5" s="311"/>
      <c r="B5" s="311"/>
      <c r="C5" s="327">
        <f>E5-0.01</f>
        <v>6.2499999999999993E-2</v>
      </c>
      <c r="D5" s="311"/>
      <c r="E5" s="328">
        <f>'GASB 68 Sch Input CY'!F47</f>
        <v>7.2499999999999995E-2</v>
      </c>
      <c r="F5" s="311"/>
      <c r="G5" s="327">
        <f>E5+0.01</f>
        <v>8.249999999999999E-2</v>
      </c>
    </row>
    <row r="6" spans="1:9" x14ac:dyDescent="0.2">
      <c r="B6" s="310"/>
      <c r="C6" s="309"/>
      <c r="D6" s="310"/>
      <c r="E6" s="309"/>
      <c r="F6" s="310"/>
      <c r="G6" s="309"/>
    </row>
    <row r="7" spans="1:9" x14ac:dyDescent="0.2">
      <c r="A7" s="305" t="s">
        <v>145</v>
      </c>
      <c r="B7" s="314"/>
      <c r="C7" s="42"/>
      <c r="D7" s="314"/>
      <c r="E7" s="42"/>
      <c r="F7" s="314"/>
      <c r="G7" s="42"/>
      <c r="H7" s="303"/>
      <c r="I7" s="303"/>
    </row>
    <row r="8" spans="1:9" ht="15.75" thickBot="1" x14ac:dyDescent="0.25">
      <c r="A8" s="329" t="s">
        <v>146</v>
      </c>
      <c r="B8" s="330"/>
      <c r="C8" s="46">
        <f>IF('GASB 68 JEs'!$I$9="LEA",'GASB 68 Sch Input CY'!$F$49*'Net LEA Amounts'!K13,IF('GASB 68 JEs'!$I$9="RESA",'GASB 68 Sch Input CY'!$F$49*'Net LEA Amounts'!#REF!,IF('GASB 68 JEs'!$I$9="MCVC",'GASB 68 Sch Input CY'!$F$49*'Net LEA Amounts'!I13,0)))</f>
        <v>0</v>
      </c>
      <c r="D8" s="330"/>
      <c r="E8" s="46">
        <f>IF('GASB 68 JEs'!$I$9="LEA",'GASB 68 Sch Input CY'!$B$21*'Net LEA Amounts'!K13,IF('GASB 68 JEs'!$I$9="RESA",'GASB 68 Sch Input CY'!$B$21*'Net LEA Amounts'!#REF!,IF('GASB 68 JEs'!$I$9="MCVC",'GASB 68 Sch Input CY'!$B$21*'Net LEA Amounts'!I13,0)))</f>
        <v>0</v>
      </c>
      <c r="F8" s="330"/>
      <c r="G8" s="46">
        <f>IF('GASB 68 JEs'!$I$9="LEA",'GASB 68 Sch Input CY'!$F$50*'Net LEA Amounts'!K13,IF('GASB 68 JEs'!$I$9="RESA",'GASB 68 Sch Input CY'!$F$50*'Net LEA Amounts'!#REF!,IF('GASB 68 JEs'!$I$9="MCVC",'GASB 68 Sch Input CY'!$F$50*'Net LEA Amounts'!I13,0)))</f>
        <v>0</v>
      </c>
      <c r="H8" s="303"/>
      <c r="I8" s="303"/>
    </row>
    <row r="9" spans="1:9" ht="6.75" customHeight="1" x14ac:dyDescent="0.2">
      <c r="A9" s="304"/>
      <c r="B9" s="301"/>
      <c r="C9" s="301"/>
      <c r="D9" s="301"/>
      <c r="E9" s="301"/>
      <c r="F9" s="301"/>
      <c r="G9" s="301"/>
      <c r="H9" s="301"/>
      <c r="I9" s="306"/>
    </row>
  </sheetData>
  <sheetProtection algorithmName="SHA-512" hashValue="cEpnb/xHLKIoNmk13qOD6BSSpAIuS2s0OyBv76SxFM2AAbdmoXmL0UuSU3L9yBN5IKMNQtwr1sYad9rPbkPXEA==" saltValue="2+0gEWsQuIhYxmlzJyAgUw==" spinCount="100000" sheet="1" objects="1" scenarios="1"/>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2" tint="-0.499984740745262"/>
  </sheetPr>
  <dimension ref="A1:Z44"/>
  <sheetViews>
    <sheetView view="pageBreakPreview" zoomScale="115" zoomScaleNormal="75" zoomScaleSheetLayoutView="115" workbookViewId="0">
      <selection activeCell="H5" sqref="H5"/>
    </sheetView>
  </sheetViews>
  <sheetFormatPr defaultColWidth="9.77734375" defaultRowHeight="12.75" x14ac:dyDescent="0.2"/>
  <cols>
    <col min="1" max="1" width="56.21875" style="12" customWidth="1"/>
    <col min="2" max="2" width="11.5546875" style="12" bestFit="1" customWidth="1"/>
    <col min="3" max="3" width="2.6640625" style="12" customWidth="1"/>
    <col min="4" max="4" width="11.5546875" style="12" bestFit="1" customWidth="1"/>
    <col min="5" max="5" width="2.6640625" style="12" customWidth="1"/>
    <col min="6" max="6" width="11.88671875" style="12" bestFit="1" customWidth="1"/>
    <col min="7" max="7" width="2.6640625" style="12" customWidth="1"/>
    <col min="8" max="8" width="11.88671875" style="12" bestFit="1" customWidth="1"/>
    <col min="9" max="9" width="2.6640625" style="12" customWidth="1"/>
    <col min="10" max="10" width="11.88671875" style="12" bestFit="1" customWidth="1"/>
    <col min="11" max="11" width="2.77734375" style="12" customWidth="1"/>
    <col min="12" max="12" width="11.88671875" style="12" bestFit="1" customWidth="1"/>
    <col min="13" max="13" width="2.44140625" style="12" customWidth="1"/>
    <col min="14" max="14" width="11.77734375" style="12" bestFit="1" customWidth="1"/>
    <col min="15" max="15" width="3.21875" style="12" customWidth="1"/>
    <col min="16" max="16" width="11.77734375" style="12" customWidth="1"/>
    <col min="17" max="17" width="2.77734375" style="12" customWidth="1"/>
    <col min="18" max="18" width="12" style="12" customWidth="1"/>
    <col min="19" max="19" width="2.5546875" style="12" customWidth="1"/>
    <col min="20" max="21" width="12" style="12" customWidth="1"/>
    <col min="22" max="22" width="2.77734375" style="12" customWidth="1"/>
    <col min="23" max="16384" width="9.77734375" style="12"/>
  </cols>
  <sheetData>
    <row r="1" spans="1:26" ht="18" customHeight="1" x14ac:dyDescent="0.25">
      <c r="A1" s="535" t="s">
        <v>13</v>
      </c>
      <c r="B1" s="536"/>
      <c r="C1" s="536"/>
      <c r="D1" s="536"/>
      <c r="E1" s="536"/>
      <c r="F1" s="536"/>
      <c r="G1" s="536"/>
      <c r="H1" s="536"/>
      <c r="I1" s="536"/>
      <c r="J1" s="537"/>
      <c r="K1" s="537"/>
      <c r="L1" s="538"/>
      <c r="M1" s="538"/>
      <c r="N1" s="537"/>
      <c r="O1" s="537"/>
      <c r="P1" s="537"/>
      <c r="Q1" s="537"/>
      <c r="R1" s="537"/>
      <c r="S1" s="537"/>
      <c r="T1" s="537"/>
      <c r="W1" s="394" t="str">
        <f>'Sensitivity Analysis'!I3</f>
        <v>Password for protected sheet: BOE2024</v>
      </c>
      <c r="X1" s="394"/>
      <c r="Y1" s="394"/>
      <c r="Z1" s="394"/>
    </row>
    <row r="2" spans="1:26" ht="18" customHeight="1" x14ac:dyDescent="0.25">
      <c r="A2" s="535" t="s">
        <v>17</v>
      </c>
      <c r="B2" s="536"/>
      <c r="C2" s="536"/>
      <c r="D2" s="536"/>
      <c r="E2" s="536"/>
      <c r="F2" s="536"/>
      <c r="G2" s="536"/>
      <c r="H2" s="536"/>
      <c r="I2" s="536"/>
      <c r="J2" s="538"/>
      <c r="K2" s="538"/>
      <c r="L2" s="538"/>
      <c r="M2" s="538"/>
      <c r="N2" s="537"/>
      <c r="O2" s="537"/>
      <c r="P2" s="537"/>
      <c r="Q2" s="537"/>
      <c r="R2" s="537"/>
      <c r="S2" s="537"/>
      <c r="T2" s="537"/>
      <c r="W2" s="394"/>
      <c r="X2" s="394"/>
      <c r="Y2" s="394"/>
      <c r="Z2" s="394"/>
    </row>
    <row r="3" spans="1:26" ht="12.75" customHeight="1" x14ac:dyDescent="0.25">
      <c r="A3" s="539"/>
      <c r="B3" s="536"/>
      <c r="C3" s="536"/>
      <c r="D3" s="536"/>
      <c r="E3" s="536"/>
      <c r="F3" s="536"/>
      <c r="G3" s="536"/>
      <c r="H3" s="536"/>
      <c r="I3" s="536"/>
      <c r="J3" s="538"/>
      <c r="K3" s="538"/>
      <c r="L3" s="538"/>
      <c r="M3" s="538"/>
      <c r="N3" s="537"/>
      <c r="O3" s="537"/>
      <c r="P3" s="537"/>
      <c r="Q3" s="537"/>
      <c r="R3" s="537"/>
      <c r="S3" s="537"/>
      <c r="T3" s="537"/>
      <c r="W3" s="394"/>
      <c r="X3" s="394"/>
      <c r="Y3" s="394"/>
      <c r="Z3" s="394"/>
    </row>
    <row r="4" spans="1:26" ht="12.75" customHeight="1" x14ac:dyDescent="0.25">
      <c r="A4" s="536" t="s">
        <v>87</v>
      </c>
      <c r="B4" s="536"/>
      <c r="C4" s="536"/>
      <c r="D4" s="536"/>
      <c r="E4" s="536"/>
      <c r="F4" s="536"/>
      <c r="G4" s="536"/>
      <c r="H4" s="536"/>
      <c r="I4" s="536"/>
      <c r="J4" s="538"/>
      <c r="K4" s="538"/>
      <c r="L4" s="538"/>
      <c r="M4" s="538"/>
      <c r="N4" s="537"/>
      <c r="O4" s="537"/>
      <c r="P4" s="537"/>
      <c r="Q4" s="537"/>
      <c r="R4" s="537"/>
      <c r="S4" s="537"/>
      <c r="T4" s="537"/>
      <c r="W4" s="351"/>
    </row>
    <row r="5" spans="1:26" ht="13.15" customHeight="1" x14ac:dyDescent="0.2">
      <c r="A5" s="536" t="s">
        <v>555</v>
      </c>
      <c r="B5" s="536"/>
      <c r="C5" s="536"/>
      <c r="D5" s="536"/>
      <c r="E5" s="536"/>
      <c r="F5" s="536"/>
      <c r="G5" s="536"/>
      <c r="H5" s="536"/>
      <c r="I5" s="536"/>
      <c r="J5" s="537"/>
      <c r="K5" s="537"/>
      <c r="L5" s="537"/>
      <c r="M5" s="537"/>
      <c r="N5" s="537"/>
      <c r="O5" s="537"/>
      <c r="P5" s="537"/>
      <c r="Q5" s="537"/>
      <c r="R5" s="537"/>
      <c r="S5" s="537"/>
      <c r="T5" s="537"/>
      <c r="W5" s="511" t="s">
        <v>16</v>
      </c>
      <c r="X5" s="511"/>
      <c r="Y5" s="511"/>
      <c r="Z5" s="511"/>
    </row>
    <row r="6" spans="1:26" ht="13.15" customHeight="1" x14ac:dyDescent="0.2">
      <c r="A6" s="540"/>
      <c r="B6" s="536"/>
      <c r="C6" s="536"/>
      <c r="D6" s="536"/>
      <c r="E6" s="536"/>
      <c r="F6" s="536"/>
      <c r="G6" s="536"/>
      <c r="H6" s="536"/>
      <c r="I6" s="536"/>
      <c r="J6" s="537"/>
      <c r="K6" s="537"/>
      <c r="L6" s="537"/>
      <c r="M6" s="537"/>
      <c r="N6" s="537"/>
      <c r="O6" s="537"/>
      <c r="P6" s="537"/>
      <c r="Q6" s="537"/>
      <c r="R6" s="537"/>
      <c r="S6" s="537"/>
      <c r="T6" s="537"/>
      <c r="W6" s="511"/>
      <c r="X6" s="511"/>
      <c r="Y6" s="511"/>
      <c r="Z6" s="511"/>
    </row>
    <row r="7" spans="1:26" ht="13.15" customHeight="1" x14ac:dyDescent="0.2">
      <c r="A7" s="541"/>
      <c r="B7" s="536"/>
      <c r="C7" s="536"/>
      <c r="D7" s="536"/>
      <c r="E7" s="536"/>
      <c r="F7" s="536"/>
      <c r="G7" s="536"/>
      <c r="H7" s="536"/>
      <c r="I7" s="536"/>
      <c r="J7" s="537"/>
      <c r="K7" s="537"/>
      <c r="L7" s="537"/>
      <c r="M7" s="537"/>
      <c r="N7" s="537"/>
      <c r="O7" s="537"/>
      <c r="P7" s="537"/>
      <c r="Q7" s="537"/>
      <c r="R7" s="537"/>
      <c r="S7" s="537"/>
      <c r="T7" s="537"/>
      <c r="W7" s="511"/>
      <c r="X7" s="511"/>
      <c r="Y7" s="511"/>
      <c r="Z7" s="511"/>
    </row>
    <row r="8" spans="1:26" ht="14.25" customHeight="1" x14ac:dyDescent="0.2">
      <c r="A8" s="541"/>
      <c r="B8" s="536"/>
      <c r="C8" s="536"/>
      <c r="D8" s="536"/>
      <c r="E8" s="536"/>
      <c r="F8" s="536"/>
      <c r="G8" s="536"/>
      <c r="H8" s="536"/>
      <c r="I8" s="536"/>
      <c r="J8" s="542"/>
      <c r="K8" s="542"/>
      <c r="L8" s="537"/>
      <c r="M8" s="537"/>
      <c r="N8" s="537"/>
      <c r="O8" s="537"/>
      <c r="P8" s="537"/>
      <c r="Q8" s="537"/>
      <c r="R8" s="537"/>
      <c r="S8" s="537"/>
      <c r="T8" s="537"/>
      <c r="W8" s="511"/>
      <c r="X8" s="511"/>
      <c r="Y8" s="511"/>
      <c r="Z8" s="511"/>
    </row>
    <row r="9" spans="1:26" ht="14.25" customHeight="1" x14ac:dyDescent="0.2">
      <c r="A9" s="541"/>
      <c r="B9" s="543"/>
      <c r="C9" s="536"/>
      <c r="D9" s="543"/>
      <c r="E9" s="536"/>
      <c r="F9" s="543"/>
      <c r="G9" s="543"/>
      <c r="H9" s="543"/>
      <c r="I9" s="536"/>
      <c r="J9" s="542"/>
      <c r="K9" s="542"/>
      <c r="L9" s="537"/>
      <c r="M9" s="537"/>
      <c r="N9" s="537"/>
      <c r="O9" s="537"/>
      <c r="P9" s="537"/>
      <c r="Q9" s="537"/>
      <c r="R9" s="537"/>
      <c r="S9" s="537"/>
      <c r="T9" s="537"/>
      <c r="W9" s="511"/>
      <c r="X9" s="511"/>
      <c r="Y9" s="511"/>
      <c r="Z9" s="511"/>
    </row>
    <row r="10" spans="1:26" ht="15.95" customHeight="1" x14ac:dyDescent="0.2">
      <c r="A10" s="543"/>
      <c r="B10" s="540"/>
      <c r="C10" s="543"/>
      <c r="D10" s="540"/>
      <c r="E10" s="543"/>
      <c r="F10" s="540"/>
      <c r="G10" s="540"/>
      <c r="H10" s="540"/>
      <c r="I10" s="543"/>
      <c r="J10" s="542"/>
      <c r="K10" s="542"/>
      <c r="L10" s="537"/>
      <c r="M10" s="537"/>
      <c r="N10" s="537"/>
      <c r="O10" s="537"/>
      <c r="P10" s="537"/>
      <c r="Q10" s="537"/>
      <c r="R10" s="537"/>
      <c r="S10" s="537"/>
      <c r="T10" s="537"/>
      <c r="W10" s="511"/>
      <c r="X10" s="511"/>
      <c r="Y10" s="511"/>
      <c r="Z10" s="511"/>
    </row>
    <row r="11" spans="1:26" ht="15.95" customHeight="1" thickBot="1" x14ac:dyDescent="0.25">
      <c r="A11" s="543"/>
      <c r="B11" s="544">
        <v>2023</v>
      </c>
      <c r="C11" s="542"/>
      <c r="D11" s="544">
        <f>B11-1</f>
        <v>2022</v>
      </c>
      <c r="E11" s="542"/>
      <c r="F11" s="544">
        <f>D11-1</f>
        <v>2021</v>
      </c>
      <c r="G11" s="545"/>
      <c r="H11" s="544">
        <f>F11-1</f>
        <v>2020</v>
      </c>
      <c r="I11" s="542"/>
      <c r="J11" s="544">
        <f>H11-1</f>
        <v>2019</v>
      </c>
      <c r="K11" s="545"/>
      <c r="L11" s="544">
        <f>J11-1</f>
        <v>2018</v>
      </c>
      <c r="M11" s="545"/>
      <c r="N11" s="544">
        <f>L11-1</f>
        <v>2017</v>
      </c>
      <c r="O11" s="545"/>
      <c r="P11" s="544">
        <f>N11-1</f>
        <v>2016</v>
      </c>
      <c r="Q11" s="545"/>
      <c r="R11" s="544">
        <f>P11-1</f>
        <v>2015</v>
      </c>
      <c r="S11" s="545"/>
      <c r="T11" s="544">
        <f>R11-1</f>
        <v>2014</v>
      </c>
      <c r="U11" s="125"/>
      <c r="V11" s="125"/>
      <c r="W11" s="511"/>
      <c r="X11" s="511"/>
      <c r="Y11" s="511"/>
      <c r="Z11" s="511"/>
    </row>
    <row r="12" spans="1:26" x14ac:dyDescent="0.2">
      <c r="A12" s="537"/>
      <c r="B12" s="546"/>
      <c r="C12" s="546"/>
      <c r="D12" s="546"/>
      <c r="E12" s="546"/>
      <c r="F12" s="546"/>
      <c r="G12" s="546"/>
      <c r="H12" s="546"/>
      <c r="I12" s="546"/>
      <c r="J12" s="546"/>
      <c r="K12" s="546"/>
      <c r="L12" s="546"/>
      <c r="M12" s="546"/>
      <c r="N12" s="546"/>
      <c r="O12" s="546"/>
      <c r="P12" s="546"/>
      <c r="Q12" s="546"/>
      <c r="R12" s="546"/>
      <c r="S12" s="546"/>
      <c r="T12" s="546"/>
      <c r="U12" s="14"/>
      <c r="V12" s="14"/>
      <c r="W12" s="511"/>
      <c r="X12" s="511"/>
      <c r="Y12" s="511"/>
      <c r="Z12" s="511"/>
    </row>
    <row r="13" spans="1:26" x14ac:dyDescent="0.2">
      <c r="A13" s="547" t="s">
        <v>88</v>
      </c>
      <c r="B13" s="19">
        <f>IF('GASB 68 JEs'!$I$9="LEA",ROUND('Net LEA Amounts'!K13,8),IF('GASB 68 JEs'!$I$9="RESA",ROUND('Net LEA Amounts'!#REF!,8),IF('GASB 68 JEs'!$I$9="MCVC",ROUND('Net LEA Amounts'!I13,8),0)))</f>
        <v>0</v>
      </c>
      <c r="C13" s="546"/>
      <c r="D13" s="368">
        <v>0</v>
      </c>
      <c r="E13" s="546"/>
      <c r="F13" s="368">
        <v>0</v>
      </c>
      <c r="G13" s="546"/>
      <c r="H13" s="368">
        <v>0</v>
      </c>
      <c r="I13" s="19"/>
      <c r="J13" s="368">
        <v>0</v>
      </c>
      <c r="K13" s="546"/>
      <c r="L13" s="390">
        <v>0</v>
      </c>
      <c r="M13" s="546"/>
      <c r="N13" s="390">
        <v>0</v>
      </c>
      <c r="O13" s="548"/>
      <c r="P13" s="390">
        <v>0</v>
      </c>
      <c r="Q13" s="548"/>
      <c r="R13" s="390">
        <v>0</v>
      </c>
      <c r="S13" s="548"/>
      <c r="T13" s="390">
        <v>0</v>
      </c>
      <c r="U13" s="390"/>
      <c r="V13" s="395"/>
      <c r="W13" s="511"/>
      <c r="X13" s="511"/>
      <c r="Y13" s="511"/>
      <c r="Z13" s="511"/>
    </row>
    <row r="14" spans="1:26" x14ac:dyDescent="0.2">
      <c r="A14" s="547"/>
      <c r="B14" s="15"/>
      <c r="C14" s="546"/>
      <c r="D14" s="15"/>
      <c r="E14" s="546"/>
      <c r="F14" s="15"/>
      <c r="G14" s="546"/>
      <c r="H14" s="15"/>
      <c r="I14" s="15"/>
      <c r="J14" s="15"/>
      <c r="K14" s="546"/>
      <c r="L14" s="546"/>
      <c r="M14" s="546"/>
      <c r="N14" s="546"/>
      <c r="O14" s="546"/>
      <c r="P14" s="546"/>
      <c r="Q14" s="546"/>
      <c r="R14" s="546"/>
      <c r="S14" s="546"/>
      <c r="T14" s="546"/>
      <c r="U14" s="14"/>
      <c r="V14" s="14"/>
      <c r="W14" s="511"/>
      <c r="X14" s="511"/>
      <c r="Y14" s="511"/>
      <c r="Z14" s="511"/>
    </row>
    <row r="15" spans="1:26" x14ac:dyDescent="0.2">
      <c r="A15" s="547" t="s">
        <v>89</v>
      </c>
      <c r="B15" s="7">
        <f>IF('GASB 68 JEs'!$I$9="LEA",ROUND('Net LEA Amounts'!C31,0),IF('GASB 68 JEs'!$I$9="RESA",ROUND('Net LEA Amounts'!#REF!,0),IF('GASB 68 JEs'!$I$9="MCVC",ROUND('Net LEA Amounts'!C29,0),0)))</f>
        <v>0</v>
      </c>
      <c r="C15" s="3"/>
      <c r="D15" s="11">
        <v>0</v>
      </c>
      <c r="E15" s="3"/>
      <c r="F15" s="11">
        <v>0</v>
      </c>
      <c r="G15" s="3"/>
      <c r="H15" s="11">
        <v>0</v>
      </c>
      <c r="I15" s="7"/>
      <c r="J15" s="11">
        <v>0</v>
      </c>
      <c r="K15" s="3"/>
      <c r="L15" s="11">
        <v>0</v>
      </c>
      <c r="M15" s="7"/>
      <c r="N15" s="11">
        <v>0</v>
      </c>
      <c r="O15" s="7"/>
      <c r="P15" s="11">
        <v>0</v>
      </c>
      <c r="Q15" s="7"/>
      <c r="R15" s="11">
        <v>0</v>
      </c>
      <c r="S15" s="7"/>
      <c r="T15" s="11">
        <v>0</v>
      </c>
      <c r="U15" s="11"/>
      <c r="V15" s="374"/>
    </row>
    <row r="16" spans="1:26" ht="14.25" customHeight="1" x14ac:dyDescent="0.2">
      <c r="A16" s="549"/>
      <c r="B16" s="4"/>
      <c r="C16" s="4"/>
      <c r="D16" s="4"/>
      <c r="E16" s="4"/>
      <c r="F16" s="4"/>
      <c r="G16" s="4"/>
      <c r="H16" s="4"/>
      <c r="I16" s="4"/>
      <c r="J16" s="4"/>
      <c r="K16" s="4"/>
      <c r="L16" s="4"/>
      <c r="M16" s="4"/>
      <c r="N16" s="4"/>
      <c r="O16" s="4"/>
      <c r="P16" s="4"/>
      <c r="Q16" s="4"/>
      <c r="R16" s="4"/>
      <c r="S16" s="4"/>
      <c r="T16" s="4"/>
      <c r="U16" s="4"/>
      <c r="V16" s="4"/>
    </row>
    <row r="17" spans="1:22" ht="14.25" customHeight="1" x14ac:dyDescent="0.2">
      <c r="A17" s="547" t="s">
        <v>90</v>
      </c>
      <c r="B17" s="4">
        <f>IF('GASB 68 JEs'!$I$9="LEA",ROUND('GASB 68 State Aid Support'!H61,0),IF('GASB 68 JEs'!$I$9="RESA",ROUND('GASB 68 State Aid Support'!J61,0),IF('GASB 68 JEs'!$I$9="MCVC",ROUND('GASB 68 State Aid Support'!L61,0),0)))</f>
        <v>0</v>
      </c>
      <c r="C17" s="4"/>
      <c r="D17" s="367">
        <v>0</v>
      </c>
      <c r="E17" s="4"/>
      <c r="F17" s="367">
        <v>0</v>
      </c>
      <c r="G17" s="4"/>
      <c r="H17" s="367">
        <v>0</v>
      </c>
      <c r="I17" s="4"/>
      <c r="J17" s="367">
        <v>0</v>
      </c>
      <c r="K17" s="4"/>
      <c r="L17" s="367">
        <v>0</v>
      </c>
      <c r="M17" s="4"/>
      <c r="N17" s="367">
        <v>0</v>
      </c>
      <c r="O17" s="4"/>
      <c r="P17" s="367">
        <v>0</v>
      </c>
      <c r="Q17" s="4"/>
      <c r="R17" s="367">
        <v>0</v>
      </c>
      <c r="S17" s="4"/>
      <c r="T17" s="367">
        <v>0</v>
      </c>
      <c r="U17" s="367"/>
      <c r="V17" s="375"/>
    </row>
    <row r="18" spans="1:22" ht="20.100000000000001" customHeight="1" thickBot="1" x14ac:dyDescent="0.25">
      <c r="A18" s="547" t="s">
        <v>5</v>
      </c>
      <c r="B18" s="16">
        <f>SUM(B15:B17)</f>
        <v>0</v>
      </c>
      <c r="C18" s="4"/>
      <c r="D18" s="16">
        <f>SUM(D15:D17)</f>
        <v>0</v>
      </c>
      <c r="E18" s="4"/>
      <c r="F18" s="16">
        <f>SUM(F15:F17)</f>
        <v>0</v>
      </c>
      <c r="G18" s="4"/>
      <c r="H18" s="16">
        <f>SUM(H15:H17)</f>
        <v>0</v>
      </c>
      <c r="I18" s="4"/>
      <c r="J18" s="16">
        <f>SUM(J15:J17)</f>
        <v>0</v>
      </c>
      <c r="K18" s="16"/>
      <c r="L18" s="16">
        <f>SUM(L15:L17)</f>
        <v>0</v>
      </c>
      <c r="M18" s="4"/>
      <c r="N18" s="16">
        <f>SUM(N15:N17)</f>
        <v>0</v>
      </c>
      <c r="O18" s="4"/>
      <c r="P18" s="16">
        <f>SUM(P15:P17)</f>
        <v>0</v>
      </c>
      <c r="Q18" s="4"/>
      <c r="R18" s="16">
        <f>SUM(R15:R17)</f>
        <v>0</v>
      </c>
      <c r="S18" s="4"/>
      <c r="T18" s="16">
        <f>SUM(T15:T17)</f>
        <v>0</v>
      </c>
      <c r="U18" s="4"/>
      <c r="V18" s="4"/>
    </row>
    <row r="19" spans="1:22" ht="13.5" thickTop="1" x14ac:dyDescent="0.2">
      <c r="A19" s="546"/>
      <c r="B19" s="5"/>
      <c r="C19" s="4"/>
      <c r="D19" s="5"/>
      <c r="E19" s="4"/>
      <c r="F19" s="5"/>
      <c r="G19" s="5"/>
      <c r="H19" s="5"/>
      <c r="I19" s="4"/>
      <c r="J19" s="4"/>
      <c r="K19" s="4"/>
      <c r="L19" s="4"/>
      <c r="M19" s="4"/>
      <c r="N19" s="4"/>
      <c r="O19" s="4"/>
      <c r="P19" s="4"/>
      <c r="Q19" s="4"/>
      <c r="R19" s="4"/>
      <c r="S19" s="4"/>
      <c r="T19" s="4"/>
      <c r="U19" s="4"/>
      <c r="V19" s="4"/>
    </row>
    <row r="20" spans="1:22" x14ac:dyDescent="0.2">
      <c r="A20" s="547" t="s">
        <v>449</v>
      </c>
      <c r="B20" s="11">
        <v>0</v>
      </c>
      <c r="C20" s="4"/>
      <c r="D20" s="11">
        <v>0</v>
      </c>
      <c r="E20" s="4"/>
      <c r="F20" s="11">
        <v>0</v>
      </c>
      <c r="G20" s="7"/>
      <c r="H20" s="11">
        <v>0</v>
      </c>
      <c r="I20" s="4"/>
      <c r="J20" s="11">
        <v>0</v>
      </c>
      <c r="K20" s="7"/>
      <c r="L20" s="11">
        <v>0</v>
      </c>
      <c r="M20" s="7"/>
      <c r="N20" s="11">
        <v>0</v>
      </c>
      <c r="O20" s="7"/>
      <c r="P20" s="11">
        <v>0</v>
      </c>
      <c r="Q20" s="7"/>
      <c r="R20" s="11">
        <v>0</v>
      </c>
      <c r="S20" s="7"/>
      <c r="T20" s="11">
        <v>0</v>
      </c>
      <c r="U20" s="4" t="s">
        <v>451</v>
      </c>
      <c r="V20" s="374"/>
    </row>
    <row r="21" spans="1:22" x14ac:dyDescent="0.2">
      <c r="A21" s="550"/>
      <c r="B21" s="5"/>
      <c r="C21" s="4"/>
      <c r="D21" s="5"/>
      <c r="E21" s="4"/>
      <c r="F21" s="5"/>
      <c r="G21" s="5"/>
      <c r="H21" s="5"/>
      <c r="I21" s="4"/>
      <c r="J21" s="4"/>
      <c r="K21" s="4"/>
      <c r="L21" s="4"/>
      <c r="M21" s="4"/>
      <c r="N21" s="4"/>
      <c r="O21" s="4"/>
      <c r="P21" s="4"/>
      <c r="Q21" s="4"/>
      <c r="R21" s="4"/>
      <c r="S21" s="4"/>
      <c r="T21" s="4"/>
      <c r="U21" s="4"/>
      <c r="V21" s="4"/>
    </row>
    <row r="22" spans="1:22" x14ac:dyDescent="0.2">
      <c r="A22" s="547" t="s">
        <v>91</v>
      </c>
      <c r="B22" s="537"/>
      <c r="C22" s="4"/>
      <c r="D22" s="537"/>
      <c r="E22" s="4"/>
      <c r="F22" s="537"/>
      <c r="G22" s="537"/>
      <c r="H22" s="537"/>
      <c r="I22" s="4"/>
      <c r="J22" s="4"/>
      <c r="K22" s="4"/>
      <c r="L22" s="4"/>
      <c r="M22" s="4"/>
      <c r="N22" s="4"/>
      <c r="O22" s="4"/>
      <c r="P22" s="4"/>
      <c r="Q22" s="4"/>
      <c r="R22" s="4"/>
      <c r="S22" s="4"/>
      <c r="T22" s="4"/>
      <c r="U22" s="4"/>
      <c r="V22" s="4"/>
    </row>
    <row r="23" spans="1:22" x14ac:dyDescent="0.2">
      <c r="A23" s="551" t="s">
        <v>450</v>
      </c>
      <c r="B23" s="15" t="e">
        <f>B15/B20</f>
        <v>#DIV/0!</v>
      </c>
      <c r="C23" s="4"/>
      <c r="D23" s="15" t="e">
        <f>D15/D20</f>
        <v>#DIV/0!</v>
      </c>
      <c r="E23" s="4"/>
      <c r="F23" s="15" t="e">
        <f>F15/F20</f>
        <v>#DIV/0!</v>
      </c>
      <c r="G23" s="15"/>
      <c r="H23" s="15" t="e">
        <f>H15/H20</f>
        <v>#DIV/0!</v>
      </c>
      <c r="I23" s="4"/>
      <c r="J23" s="15" t="e">
        <f>J15/J20</f>
        <v>#DIV/0!</v>
      </c>
      <c r="K23" s="15"/>
      <c r="L23" s="15" t="e">
        <f>L15/L20</f>
        <v>#DIV/0!</v>
      </c>
      <c r="M23" s="15"/>
      <c r="N23" s="15" t="e">
        <f>N15/N20</f>
        <v>#DIV/0!</v>
      </c>
      <c r="O23" s="15"/>
      <c r="P23" s="15" t="e">
        <f>P15/P20</f>
        <v>#DIV/0!</v>
      </c>
      <c r="Q23" s="15"/>
      <c r="R23" s="15" t="e">
        <f>R15/R20</f>
        <v>#DIV/0!</v>
      </c>
      <c r="S23" s="15"/>
      <c r="T23" s="15" t="e">
        <f>T15/T20</f>
        <v>#DIV/0!</v>
      </c>
      <c r="U23" s="15"/>
      <c r="V23" s="15"/>
    </row>
    <row r="24" spans="1:22" ht="14.25" customHeight="1" x14ac:dyDescent="0.2">
      <c r="A24" s="549"/>
      <c r="B24" s="4"/>
      <c r="C24" s="4"/>
      <c r="D24" s="4"/>
      <c r="E24" s="4"/>
      <c r="F24" s="4"/>
      <c r="G24" s="4"/>
      <c r="H24" s="4"/>
      <c r="I24" s="4"/>
      <c r="J24" s="4"/>
      <c r="K24" s="4"/>
      <c r="L24" s="4"/>
      <c r="M24" s="4"/>
      <c r="N24" s="4"/>
      <c r="O24" s="4"/>
      <c r="P24" s="4"/>
      <c r="Q24" s="4"/>
      <c r="R24" s="4"/>
      <c r="S24" s="4"/>
      <c r="T24" s="4"/>
      <c r="U24" s="4"/>
      <c r="V24" s="4"/>
    </row>
    <row r="25" spans="1:22" ht="14.25" customHeight="1" x14ac:dyDescent="0.2">
      <c r="A25" s="547" t="s">
        <v>92</v>
      </c>
      <c r="B25" s="47">
        <f>ROUND($B$31/$B$32,4)</f>
        <v>0.80420000000000003</v>
      </c>
      <c r="C25" s="4"/>
      <c r="D25" s="47">
        <f>ROUND($D$31/$D$32,4)</f>
        <v>0.77780000000000005</v>
      </c>
      <c r="E25" s="4"/>
      <c r="F25" s="47">
        <f>ROUND($F$31/$F$32,4)</f>
        <v>0.86380000000000001</v>
      </c>
      <c r="G25" s="47"/>
      <c r="H25" s="47">
        <f>ROUND($H$31/$H$32,4)</f>
        <v>0.70889999999999997</v>
      </c>
      <c r="I25" s="4"/>
      <c r="J25" s="47">
        <f>ROUND($J$31/$J$32,4)</f>
        <v>0.72640000000000005</v>
      </c>
      <c r="K25" s="47"/>
      <c r="L25" s="47">
        <f>ROUND($L$31/$L$32,4)</f>
        <v>0.71199999999999997</v>
      </c>
      <c r="M25" s="47"/>
      <c r="N25" s="47">
        <f>ROUND($N$31/$N$32,4)</f>
        <v>0.67849999999999999</v>
      </c>
      <c r="O25" s="47"/>
      <c r="P25" s="47">
        <f>ROUND($P$31/$P$32,4)</f>
        <v>0.61419999999999997</v>
      </c>
      <c r="Q25" s="47"/>
      <c r="R25" s="47">
        <f>ROUND($R$31/$R$32,4)</f>
        <v>0.66249999999999998</v>
      </c>
      <c r="S25" s="47"/>
      <c r="T25" s="47">
        <f>ROUND($T$31/$T$32,4)</f>
        <v>0.65949999999999998</v>
      </c>
      <c r="U25" s="47"/>
      <c r="V25" s="47"/>
    </row>
    <row r="26" spans="1:22" x14ac:dyDescent="0.2">
      <c r="A26" s="537"/>
      <c r="B26" s="537"/>
      <c r="C26" s="537"/>
      <c r="D26" s="537"/>
      <c r="E26" s="537"/>
      <c r="F26" s="537"/>
      <c r="G26" s="537"/>
      <c r="H26" s="537"/>
      <c r="I26" s="537"/>
      <c r="J26" s="537"/>
      <c r="K26" s="537"/>
      <c r="L26" s="537"/>
      <c r="M26" s="537"/>
      <c r="N26" s="537"/>
      <c r="O26" s="537"/>
      <c r="P26" s="537"/>
      <c r="Q26" s="537"/>
      <c r="R26" s="537"/>
      <c r="S26" s="537"/>
      <c r="T26" s="537"/>
    </row>
    <row r="27" spans="1:22" x14ac:dyDescent="0.2">
      <c r="A27" s="552"/>
      <c r="B27" s="537"/>
      <c r="C27" s="537"/>
      <c r="D27" s="537"/>
      <c r="E27" s="537"/>
      <c r="F27" s="537"/>
      <c r="G27" s="537"/>
      <c r="H27" s="537"/>
      <c r="I27" s="537"/>
      <c r="J27" s="537"/>
      <c r="K27" s="537"/>
      <c r="L27" s="537"/>
      <c r="M27" s="537"/>
      <c r="N27" s="537"/>
      <c r="O27" s="537"/>
      <c r="P27" s="537"/>
      <c r="Q27" s="537"/>
      <c r="R27" s="537"/>
      <c r="S27" s="537"/>
      <c r="T27" s="537"/>
    </row>
    <row r="28" spans="1:22" x14ac:dyDescent="0.2">
      <c r="A28" s="21"/>
    </row>
    <row r="29" spans="1:22" ht="51" x14ac:dyDescent="0.2">
      <c r="A29" s="17" t="s">
        <v>96</v>
      </c>
    </row>
    <row r="30" spans="1:22" ht="13.5" thickBot="1" x14ac:dyDescent="0.25">
      <c r="B30" s="13">
        <v>2023</v>
      </c>
      <c r="C30" s="377"/>
      <c r="D30" s="13">
        <f>B30-1</f>
        <v>2022</v>
      </c>
      <c r="F30" s="13">
        <f>B30-2</f>
        <v>2021</v>
      </c>
      <c r="H30" s="13">
        <f>F30-1</f>
        <v>2020</v>
      </c>
      <c r="I30" s="125"/>
      <c r="J30" s="13">
        <f>H30-1</f>
        <v>2019</v>
      </c>
      <c r="L30" s="13">
        <f>J30-1</f>
        <v>2018</v>
      </c>
      <c r="M30" s="125"/>
      <c r="N30" s="13">
        <f>L30-1</f>
        <v>2017</v>
      </c>
      <c r="O30" s="125"/>
      <c r="P30" s="13">
        <f>N30-1</f>
        <v>2016</v>
      </c>
      <c r="Q30" s="125"/>
      <c r="R30" s="13">
        <f>P30-1</f>
        <v>2015</v>
      </c>
      <c r="S30" s="125"/>
      <c r="T30" s="13">
        <f>R30-1</f>
        <v>2014</v>
      </c>
      <c r="U30" s="125"/>
      <c r="V30" s="125"/>
    </row>
    <row r="31" spans="1:22" x14ac:dyDescent="0.2">
      <c r="A31" s="18" t="s">
        <v>97</v>
      </c>
      <c r="B31" s="12">
        <v>9400404</v>
      </c>
      <c r="C31" s="377"/>
      <c r="D31" s="12">
        <v>9001857</v>
      </c>
      <c r="E31" s="377"/>
      <c r="F31" s="119">
        <v>9914787</v>
      </c>
      <c r="H31" s="119">
        <v>7844328</v>
      </c>
      <c r="J31" s="12">
        <v>7898739</v>
      </c>
      <c r="L31" s="12">
        <v>7720609</v>
      </c>
      <c r="N31" s="12">
        <v>7290462000</v>
      </c>
      <c r="P31" s="12">
        <v>6543087000</v>
      </c>
      <c r="R31" s="12">
        <v>6803342000</v>
      </c>
      <c r="T31" s="12">
        <v>6682093000</v>
      </c>
    </row>
    <row r="32" spans="1:22" x14ac:dyDescent="0.2">
      <c r="A32" s="18" t="s">
        <v>98</v>
      </c>
      <c r="B32" s="12">
        <v>11689810</v>
      </c>
      <c r="C32" s="377"/>
      <c r="D32" s="12">
        <v>11573922</v>
      </c>
      <c r="E32" s="377"/>
      <c r="F32" s="119">
        <v>11477566</v>
      </c>
      <c r="H32" s="119">
        <v>11065269</v>
      </c>
      <c r="J32" s="12">
        <v>10873910</v>
      </c>
      <c r="L32" s="12">
        <v>10842866</v>
      </c>
      <c r="N32" s="12">
        <v>10745434000</v>
      </c>
      <c r="P32" s="12">
        <v>10652921000</v>
      </c>
      <c r="R32" s="12">
        <v>10268596000</v>
      </c>
      <c r="T32" s="12">
        <v>10132186000</v>
      </c>
    </row>
    <row r="33" spans="1:14" x14ac:dyDescent="0.2">
      <c r="B33" s="377"/>
      <c r="C33" s="377"/>
      <c r="D33" s="377"/>
      <c r="E33" s="377"/>
      <c r="F33" s="377"/>
      <c r="G33" s="377"/>
      <c r="H33" s="377"/>
      <c r="I33" s="377"/>
      <c r="J33" s="377"/>
      <c r="K33" s="377"/>
      <c r="L33" s="377"/>
      <c r="M33" s="377"/>
      <c r="N33" s="377"/>
    </row>
    <row r="34" spans="1:14" x14ac:dyDescent="0.2">
      <c r="A34" s="12" t="s">
        <v>93</v>
      </c>
    </row>
    <row r="36" spans="1:14" x14ac:dyDescent="0.2">
      <c r="A36" s="12" t="s">
        <v>94</v>
      </c>
    </row>
    <row r="39" spans="1:14" ht="15" x14ac:dyDescent="0.25">
      <c r="A39" s="376"/>
      <c r="B39" s="377"/>
      <c r="C39" s="377"/>
      <c r="D39" s="377"/>
      <c r="E39" s="377"/>
      <c r="F39" s="377"/>
    </row>
    <row r="40" spans="1:14" x14ac:dyDescent="0.2">
      <c r="A40" s="377"/>
      <c r="B40" s="377"/>
      <c r="C40" s="377"/>
      <c r="D40" s="377"/>
      <c r="E40" s="377"/>
      <c r="F40" s="377"/>
    </row>
    <row r="41" spans="1:14" x14ac:dyDescent="0.2">
      <c r="A41" s="377"/>
      <c r="B41" s="377"/>
      <c r="C41" s="377"/>
      <c r="D41" s="377"/>
      <c r="E41" s="377"/>
      <c r="F41" s="377"/>
    </row>
    <row r="42" spans="1:14" x14ac:dyDescent="0.2">
      <c r="A42" s="377"/>
      <c r="B42" s="377"/>
      <c r="C42" s="377"/>
      <c r="D42" s="377"/>
      <c r="E42" s="377"/>
      <c r="F42" s="377"/>
    </row>
    <row r="43" spans="1:14" x14ac:dyDescent="0.2">
      <c r="A43" s="377"/>
      <c r="B43" s="377"/>
      <c r="C43" s="377"/>
      <c r="D43" s="377"/>
      <c r="E43" s="377"/>
      <c r="F43" s="377"/>
    </row>
    <row r="44" spans="1:14" x14ac:dyDescent="0.2">
      <c r="A44" s="377"/>
      <c r="B44" s="377"/>
      <c r="C44" s="377"/>
      <c r="D44" s="377"/>
      <c r="E44" s="377"/>
      <c r="F44" s="377"/>
    </row>
  </sheetData>
  <sheetProtection algorithmName="SHA-512" hashValue="rm9sFGi89R9yQYxRyzohDedthkFUKwOR22iVMr1ZDrpFbdSaZAXg0LRi9vqgZOc5g3b/RaqjXOpMCBuoDXKBbw==" saltValue="HQuI+ZQuApMFOe6A3KpGjQ==" spinCount="100000" sheet="1" objects="1" scenarios="1"/>
  <mergeCells count="1">
    <mergeCell ref="W5:Z14"/>
  </mergeCells>
  <pageMargins left="1" right="0.5" top="0.5" bottom="0.5" header="0.5" footer="0.5"/>
  <pageSetup scale="49" orientation="landscape" r:id="rId1"/>
  <headerFooter alignWithMargins="0">
    <oddFooter>&amp;C&amp;11- &amp;P+7 -</oddFooter>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2" tint="-0.499984740745262"/>
  </sheetPr>
  <dimension ref="A1:Y33"/>
  <sheetViews>
    <sheetView view="pageBreakPreview" zoomScaleNormal="100" zoomScaleSheetLayoutView="100" workbookViewId="0">
      <selection activeCell="O30" sqref="O30"/>
    </sheetView>
  </sheetViews>
  <sheetFormatPr defaultColWidth="9.77734375" defaultRowHeight="12.75" x14ac:dyDescent="0.2"/>
  <cols>
    <col min="1" max="1" width="42.21875" style="12" customWidth="1"/>
    <col min="2" max="2" width="10.77734375" style="12" customWidth="1"/>
    <col min="3" max="3" width="1.21875" style="12" customWidth="1"/>
    <col min="4" max="4" width="10.77734375" style="12" customWidth="1"/>
    <col min="5" max="5" width="1.21875" style="12" customWidth="1"/>
    <col min="6" max="6" width="10.77734375" style="12" customWidth="1"/>
    <col min="7" max="7" width="1.21875" style="12" customWidth="1"/>
    <col min="8" max="8" width="10.77734375" style="12" customWidth="1"/>
    <col min="9" max="9" width="1.21875" style="12" customWidth="1"/>
    <col min="10" max="10" width="10.77734375" style="12" customWidth="1"/>
    <col min="11" max="11" width="1.21875" style="12" customWidth="1"/>
    <col min="12" max="12" width="10.77734375" style="12" customWidth="1"/>
    <col min="13" max="13" width="1.21875" style="12" customWidth="1"/>
    <col min="14" max="14" width="10.77734375" style="12" customWidth="1"/>
    <col min="15" max="15" width="1.21875" style="12" customWidth="1"/>
    <col min="16" max="16" width="10.77734375" style="12" customWidth="1"/>
    <col min="17" max="17" width="1.21875" style="12" customWidth="1"/>
    <col min="18" max="18" width="10.77734375" style="12" customWidth="1"/>
    <col min="19" max="19" width="1.21875" style="12" customWidth="1"/>
    <col min="20" max="20" width="10.77734375" style="12" customWidth="1"/>
    <col min="21" max="21" width="1.21875" style="12" customWidth="1"/>
    <col min="22" max="22" width="3" style="12" customWidth="1"/>
    <col min="23" max="16384" width="9.77734375" style="12"/>
  </cols>
  <sheetData>
    <row r="1" spans="1:25" ht="18" x14ac:dyDescent="0.25">
      <c r="A1" s="535" t="s">
        <v>13</v>
      </c>
      <c r="B1" s="536"/>
      <c r="C1" s="536"/>
      <c r="D1" s="553"/>
      <c r="E1" s="553"/>
      <c r="F1" s="553"/>
      <c r="G1" s="537"/>
      <c r="H1" s="537"/>
      <c r="I1" s="537"/>
      <c r="J1" s="537"/>
      <c r="K1" s="537"/>
      <c r="L1" s="537"/>
      <c r="M1" s="537"/>
      <c r="N1" s="537"/>
      <c r="O1" s="537"/>
      <c r="P1" s="554"/>
      <c r="Q1" s="536"/>
      <c r="R1" s="536"/>
      <c r="S1" s="536"/>
      <c r="T1" s="537"/>
      <c r="U1" s="536"/>
      <c r="V1" s="553"/>
      <c r="W1" s="555" t="str">
        <f>'Prop Share of NPL'!W1</f>
        <v>Password for protected sheet: BOE2024</v>
      </c>
      <c r="X1" s="537"/>
      <c r="Y1" s="537"/>
    </row>
    <row r="2" spans="1:25" x14ac:dyDescent="0.2">
      <c r="A2" s="535" t="s">
        <v>17</v>
      </c>
      <c r="B2" s="536"/>
      <c r="C2" s="536"/>
      <c r="D2" s="553"/>
      <c r="E2" s="553"/>
      <c r="F2" s="553"/>
      <c r="G2" s="537"/>
      <c r="H2" s="537"/>
      <c r="I2" s="537"/>
      <c r="J2" s="537"/>
      <c r="K2" s="537"/>
      <c r="L2" s="537"/>
      <c r="M2" s="537"/>
      <c r="N2" s="537"/>
      <c r="O2" s="537"/>
      <c r="P2" s="554"/>
      <c r="Q2" s="536"/>
      <c r="R2" s="536"/>
      <c r="S2" s="536"/>
      <c r="T2" s="536"/>
      <c r="U2" s="536"/>
      <c r="V2" s="553"/>
      <c r="W2" s="537"/>
      <c r="X2" s="537"/>
      <c r="Y2" s="537"/>
    </row>
    <row r="3" spans="1:25" x14ac:dyDescent="0.2">
      <c r="A3" s="539"/>
      <c r="B3" s="536"/>
      <c r="C3" s="536"/>
      <c r="D3" s="537"/>
      <c r="E3" s="537"/>
      <c r="F3" s="537"/>
      <c r="G3" s="537"/>
      <c r="H3" s="537"/>
      <c r="I3" s="537"/>
      <c r="J3" s="537"/>
      <c r="K3" s="537"/>
      <c r="L3" s="537"/>
      <c r="M3" s="537"/>
      <c r="N3" s="537"/>
      <c r="O3" s="537"/>
      <c r="P3" s="554"/>
      <c r="Q3" s="536"/>
      <c r="R3" s="536"/>
      <c r="S3" s="536"/>
      <c r="T3" s="536"/>
      <c r="U3" s="536"/>
      <c r="V3" s="553"/>
      <c r="W3" s="537"/>
      <c r="X3" s="537"/>
      <c r="Y3" s="537"/>
    </row>
    <row r="4" spans="1:25" ht="12.75" customHeight="1" x14ac:dyDescent="0.2">
      <c r="A4" s="536" t="s">
        <v>99</v>
      </c>
      <c r="B4" s="536"/>
      <c r="C4" s="536"/>
      <c r="D4" s="553"/>
      <c r="E4" s="553"/>
      <c r="F4" s="553"/>
      <c r="G4" s="537"/>
      <c r="H4" s="537"/>
      <c r="I4" s="537"/>
      <c r="J4" s="537"/>
      <c r="K4" s="556"/>
      <c r="L4" s="537"/>
      <c r="M4" s="556"/>
      <c r="N4" s="537"/>
      <c r="O4" s="557"/>
      <c r="P4" s="557"/>
      <c r="Q4" s="557"/>
      <c r="R4" s="537"/>
      <c r="S4" s="537"/>
      <c r="T4" s="558"/>
      <c r="U4" s="558"/>
      <c r="V4" s="558"/>
      <c r="W4" s="559" t="s">
        <v>16</v>
      </c>
      <c r="X4" s="559"/>
      <c r="Y4" s="559"/>
    </row>
    <row r="5" spans="1:25" ht="12.75" customHeight="1" x14ac:dyDescent="0.2">
      <c r="A5" s="536" t="s">
        <v>452</v>
      </c>
      <c r="B5" s="536"/>
      <c r="C5" s="536"/>
      <c r="D5" s="553"/>
      <c r="E5" s="553"/>
      <c r="F5" s="553"/>
      <c r="G5" s="537"/>
      <c r="H5" s="537"/>
      <c r="I5" s="537"/>
      <c r="J5" s="556"/>
      <c r="K5" s="556"/>
      <c r="L5" s="556"/>
      <c r="M5" s="556"/>
      <c r="N5" s="557"/>
      <c r="O5" s="557"/>
      <c r="P5" s="557"/>
      <c r="Q5" s="557"/>
      <c r="R5" s="557"/>
      <c r="S5" s="558"/>
      <c r="T5" s="558"/>
      <c r="U5" s="558"/>
      <c r="V5" s="558"/>
      <c r="W5" s="559"/>
      <c r="X5" s="559"/>
      <c r="Y5" s="559"/>
    </row>
    <row r="6" spans="1:25" ht="12.75" customHeight="1" x14ac:dyDescent="0.2">
      <c r="A6" s="536" t="s">
        <v>556</v>
      </c>
      <c r="B6" s="536"/>
      <c r="C6" s="536"/>
      <c r="D6" s="553"/>
      <c r="E6" s="553"/>
      <c r="F6" s="553"/>
      <c r="G6" s="537"/>
      <c r="H6" s="537"/>
      <c r="I6" s="537"/>
      <c r="J6" s="556"/>
      <c r="K6" s="556"/>
      <c r="L6" s="556"/>
      <c r="M6" s="556"/>
      <c r="N6" s="557"/>
      <c r="O6" s="557"/>
      <c r="P6" s="557"/>
      <c r="Q6" s="557"/>
      <c r="R6" s="557"/>
      <c r="S6" s="558"/>
      <c r="T6" s="558"/>
      <c r="U6" s="558"/>
      <c r="V6" s="558"/>
      <c r="W6" s="559"/>
      <c r="X6" s="559"/>
      <c r="Y6" s="559"/>
    </row>
    <row r="7" spans="1:25" ht="12.75" customHeight="1" x14ac:dyDescent="0.2">
      <c r="A7" s="541"/>
      <c r="B7" s="536"/>
      <c r="C7" s="536"/>
      <c r="D7" s="537"/>
      <c r="E7" s="537"/>
      <c r="F7" s="537"/>
      <c r="G7" s="537"/>
      <c r="H7" s="537"/>
      <c r="I7" s="537"/>
      <c r="J7" s="556"/>
      <c r="K7" s="556"/>
      <c r="L7" s="556"/>
      <c r="M7" s="556"/>
      <c r="N7" s="557"/>
      <c r="O7" s="557"/>
      <c r="P7" s="557"/>
      <c r="Q7" s="557"/>
      <c r="R7" s="557"/>
      <c r="S7" s="558"/>
      <c r="T7" s="558"/>
      <c r="U7" s="558"/>
      <c r="V7" s="558"/>
      <c r="W7" s="559"/>
      <c r="X7" s="559"/>
      <c r="Y7" s="559"/>
    </row>
    <row r="8" spans="1:25" ht="12.75" customHeight="1" x14ac:dyDescent="0.2">
      <c r="A8" s="541"/>
      <c r="B8" s="536"/>
      <c r="C8" s="536"/>
      <c r="D8" s="536"/>
      <c r="E8" s="536"/>
      <c r="F8" s="536"/>
      <c r="G8" s="536"/>
      <c r="H8" s="536"/>
      <c r="I8" s="536"/>
      <c r="J8" s="556"/>
      <c r="K8" s="556"/>
      <c r="L8" s="556"/>
      <c r="M8" s="556"/>
      <c r="N8" s="557"/>
      <c r="O8" s="557"/>
      <c r="P8" s="557"/>
      <c r="Q8" s="557"/>
      <c r="R8" s="557"/>
      <c r="S8" s="557"/>
      <c r="T8" s="557"/>
      <c r="U8" s="557"/>
      <c r="V8" s="557"/>
      <c r="W8" s="537"/>
      <c r="X8" s="537"/>
      <c r="Y8" s="537"/>
    </row>
    <row r="9" spans="1:25" ht="12.75" customHeight="1" x14ac:dyDescent="0.2">
      <c r="A9" s="541"/>
      <c r="B9" s="543"/>
      <c r="C9" s="536"/>
      <c r="D9" s="543"/>
      <c r="E9" s="536"/>
      <c r="F9" s="543"/>
      <c r="G9" s="536"/>
      <c r="H9" s="543"/>
      <c r="I9" s="536"/>
      <c r="J9" s="543"/>
      <c r="K9" s="536"/>
      <c r="L9" s="556"/>
      <c r="M9" s="556"/>
      <c r="N9" s="557"/>
      <c r="O9" s="557"/>
      <c r="P9" s="557"/>
      <c r="Q9" s="557"/>
      <c r="R9" s="557"/>
      <c r="S9" s="557"/>
      <c r="T9" s="557"/>
      <c r="U9" s="557"/>
      <c r="V9" s="557"/>
      <c r="W9" s="537"/>
      <c r="X9" s="537"/>
      <c r="Y9" s="537"/>
    </row>
    <row r="10" spans="1:25" x14ac:dyDescent="0.2">
      <c r="A10" s="543"/>
      <c r="B10" s="540"/>
      <c r="C10" s="543"/>
      <c r="D10" s="540"/>
      <c r="E10" s="543"/>
      <c r="F10" s="540"/>
      <c r="G10" s="543"/>
      <c r="H10" s="540"/>
      <c r="I10" s="543"/>
      <c r="J10" s="540"/>
      <c r="K10" s="543"/>
      <c r="L10" s="540"/>
      <c r="M10" s="543"/>
      <c r="N10" s="540"/>
      <c r="O10" s="543"/>
      <c r="P10" s="540"/>
      <c r="Q10" s="543"/>
      <c r="R10" s="540"/>
      <c r="S10" s="543"/>
      <c r="T10" s="540"/>
      <c r="U10" s="543"/>
      <c r="V10" s="542"/>
      <c r="W10" s="537"/>
      <c r="X10" s="537"/>
      <c r="Y10" s="537"/>
    </row>
    <row r="11" spans="1:25" ht="13.5" thickBot="1" x14ac:dyDescent="0.25">
      <c r="A11" s="543"/>
      <c r="B11" s="544">
        <f>'Change in Proportion - LEA'!C10</f>
        <v>2024</v>
      </c>
      <c r="C11" s="542"/>
      <c r="D11" s="544">
        <f>B11-1</f>
        <v>2023</v>
      </c>
      <c r="E11" s="542"/>
      <c r="F11" s="544">
        <f>D11-1</f>
        <v>2022</v>
      </c>
      <c r="G11" s="542"/>
      <c r="H11" s="544">
        <f>F11-1</f>
        <v>2021</v>
      </c>
      <c r="I11" s="542"/>
      <c r="J11" s="544">
        <f>H11-1</f>
        <v>2020</v>
      </c>
      <c r="K11" s="542"/>
      <c r="L11" s="544">
        <f>J11-1</f>
        <v>2019</v>
      </c>
      <c r="M11" s="542"/>
      <c r="N11" s="544">
        <f>L11-1</f>
        <v>2018</v>
      </c>
      <c r="O11" s="542"/>
      <c r="P11" s="544">
        <f>N11-1</f>
        <v>2017</v>
      </c>
      <c r="Q11" s="542"/>
      <c r="R11" s="544">
        <f>P11-1</f>
        <v>2016</v>
      </c>
      <c r="S11" s="542"/>
      <c r="T11" s="544">
        <f>R11-1</f>
        <v>2015</v>
      </c>
      <c r="U11" s="542"/>
      <c r="V11" s="560"/>
      <c r="W11" s="537"/>
      <c r="X11" s="537"/>
      <c r="Y11" s="537"/>
    </row>
    <row r="12" spans="1:25" x14ac:dyDescent="0.2">
      <c r="A12" s="537"/>
      <c r="B12" s="546"/>
      <c r="C12" s="546"/>
      <c r="D12" s="546"/>
      <c r="E12" s="546"/>
      <c r="F12" s="546"/>
      <c r="G12" s="546"/>
      <c r="H12" s="546"/>
      <c r="I12" s="546"/>
      <c r="J12" s="546"/>
      <c r="K12" s="546"/>
      <c r="L12" s="546"/>
      <c r="M12" s="546"/>
      <c r="N12" s="546"/>
      <c r="O12" s="546"/>
      <c r="P12" s="546"/>
      <c r="Q12" s="546"/>
      <c r="R12" s="546"/>
      <c r="S12" s="546"/>
      <c r="T12" s="546"/>
      <c r="U12" s="546"/>
      <c r="V12" s="546"/>
      <c r="W12" s="537"/>
      <c r="X12" s="537"/>
      <c r="Y12" s="537"/>
    </row>
    <row r="13" spans="1:25" x14ac:dyDescent="0.2">
      <c r="A13" s="547" t="s">
        <v>100</v>
      </c>
      <c r="B13" s="11">
        <v>0</v>
      </c>
      <c r="C13" s="3"/>
      <c r="D13" s="11">
        <v>0</v>
      </c>
      <c r="E13" s="3"/>
      <c r="F13" s="11">
        <v>0</v>
      </c>
      <c r="G13" s="3"/>
      <c r="H13" s="11">
        <v>0</v>
      </c>
      <c r="I13" s="3"/>
      <c r="J13" s="11">
        <v>0</v>
      </c>
      <c r="K13" s="3"/>
      <c r="L13" s="11">
        <v>0</v>
      </c>
      <c r="M13" s="3"/>
      <c r="N13" s="11">
        <v>0</v>
      </c>
      <c r="O13" s="3"/>
      <c r="P13" s="11">
        <v>0</v>
      </c>
      <c r="Q13" s="3"/>
      <c r="R13" s="11">
        <v>0</v>
      </c>
      <c r="S13" s="3"/>
      <c r="T13" s="11">
        <v>0</v>
      </c>
      <c r="U13" s="3"/>
      <c r="V13" s="7"/>
      <c r="W13" s="537"/>
      <c r="X13" s="537"/>
      <c r="Y13" s="537"/>
    </row>
    <row r="14" spans="1:25" x14ac:dyDescent="0.2">
      <c r="A14" s="549"/>
      <c r="B14" s="4"/>
      <c r="C14" s="4"/>
      <c r="D14" s="4"/>
      <c r="E14" s="4"/>
      <c r="F14" s="4"/>
      <c r="G14" s="4"/>
      <c r="H14" s="4"/>
      <c r="I14" s="4"/>
      <c r="J14" s="4"/>
      <c r="K14" s="4"/>
      <c r="L14" s="4"/>
      <c r="M14" s="4"/>
      <c r="N14" s="4"/>
      <c r="O14" s="4"/>
      <c r="P14" s="4"/>
      <c r="Q14" s="4"/>
      <c r="R14" s="4"/>
      <c r="S14" s="4"/>
      <c r="T14" s="4"/>
      <c r="U14" s="4"/>
      <c r="V14" s="4"/>
      <c r="W14" s="537"/>
      <c r="X14" s="537"/>
      <c r="Y14" s="537"/>
    </row>
    <row r="15" spans="1:25" x14ac:dyDescent="0.2">
      <c r="A15" s="547" t="s">
        <v>101</v>
      </c>
      <c r="B15" s="4">
        <f>-B13</f>
        <v>0</v>
      </c>
      <c r="C15" s="4"/>
      <c r="D15" s="4">
        <f>-D13</f>
        <v>0</v>
      </c>
      <c r="E15" s="4"/>
      <c r="F15" s="4">
        <f>-F13</f>
        <v>0</v>
      </c>
      <c r="G15" s="4"/>
      <c r="H15" s="4">
        <f>-H13</f>
        <v>0</v>
      </c>
      <c r="I15" s="4"/>
      <c r="J15" s="4">
        <f>-J13</f>
        <v>0</v>
      </c>
      <c r="K15" s="4"/>
      <c r="L15" s="4">
        <f>-L13</f>
        <v>0</v>
      </c>
      <c r="M15" s="4"/>
      <c r="N15" s="4">
        <f>-N13</f>
        <v>0</v>
      </c>
      <c r="O15" s="4"/>
      <c r="P15" s="4">
        <f>-P13</f>
        <v>0</v>
      </c>
      <c r="Q15" s="4"/>
      <c r="R15" s="4">
        <f>-R13</f>
        <v>0</v>
      </c>
      <c r="S15" s="4"/>
      <c r="T15" s="4">
        <f>-T13</f>
        <v>0</v>
      </c>
      <c r="U15" s="4"/>
      <c r="V15" s="4" t="s">
        <v>102</v>
      </c>
      <c r="W15" s="537"/>
      <c r="X15" s="537"/>
      <c r="Y15" s="537"/>
    </row>
    <row r="16" spans="1:25" ht="13.5" thickBot="1" x14ac:dyDescent="0.25">
      <c r="A16" s="547" t="s">
        <v>103</v>
      </c>
      <c r="B16" s="16">
        <f>SUM(B13:B15)</f>
        <v>0</v>
      </c>
      <c r="C16" s="4"/>
      <c r="D16" s="16">
        <f>SUM(D13:D15)</f>
        <v>0</v>
      </c>
      <c r="E16" s="4"/>
      <c r="F16" s="16">
        <f>SUM(F13:F15)</f>
        <v>0</v>
      </c>
      <c r="G16" s="4"/>
      <c r="H16" s="16">
        <f>SUM(H13:H15)</f>
        <v>0</v>
      </c>
      <c r="I16" s="4"/>
      <c r="J16" s="16">
        <f>SUM(J13:J15)</f>
        <v>0</v>
      </c>
      <c r="K16" s="4"/>
      <c r="L16" s="16">
        <f>SUM(L13:L15)</f>
        <v>0</v>
      </c>
      <c r="M16" s="4"/>
      <c r="N16" s="16">
        <f>SUM(N13:N15)</f>
        <v>0</v>
      </c>
      <c r="O16" s="4"/>
      <c r="P16" s="16">
        <f>SUM(P13:P15)</f>
        <v>0</v>
      </c>
      <c r="Q16" s="4"/>
      <c r="R16" s="16">
        <f>SUM(R13:R15)</f>
        <v>0</v>
      </c>
      <c r="S16" s="4"/>
      <c r="T16" s="16">
        <f>SUM(T13:T15)</f>
        <v>0</v>
      </c>
      <c r="U16" s="4"/>
      <c r="V16" s="4"/>
      <c r="W16" s="537"/>
      <c r="X16" s="537"/>
      <c r="Y16" s="537"/>
    </row>
    <row r="17" spans="1:25" ht="13.5" thickTop="1" x14ac:dyDescent="0.2">
      <c r="A17" s="546"/>
      <c r="B17" s="5"/>
      <c r="C17" s="4"/>
      <c r="D17" s="5"/>
      <c r="E17" s="4"/>
      <c r="F17" s="5"/>
      <c r="G17" s="4"/>
      <c r="H17" s="5"/>
      <c r="I17" s="4"/>
      <c r="J17" s="5"/>
      <c r="K17" s="4"/>
      <c r="L17" s="5"/>
      <c r="M17" s="4"/>
      <c r="N17" s="5"/>
      <c r="O17" s="4"/>
      <c r="P17" s="5"/>
      <c r="Q17" s="4"/>
      <c r="R17" s="5"/>
      <c r="S17" s="4"/>
      <c r="T17" s="5"/>
      <c r="U17" s="4"/>
      <c r="V17" s="4"/>
      <c r="W17" s="537"/>
      <c r="X17" s="537"/>
      <c r="Y17" s="537"/>
    </row>
    <row r="18" spans="1:25" x14ac:dyDescent="0.2">
      <c r="A18" s="547" t="s">
        <v>449</v>
      </c>
      <c r="B18" s="11">
        <v>0</v>
      </c>
      <c r="C18" s="4"/>
      <c r="D18" s="7">
        <f>'Prop Share of NPL'!B20</f>
        <v>0</v>
      </c>
      <c r="E18" s="4"/>
      <c r="F18" s="7">
        <f>'Prop Share of NPL'!D20</f>
        <v>0</v>
      </c>
      <c r="G18" s="4"/>
      <c r="H18" s="7">
        <f>'Prop Share of NPL'!F20</f>
        <v>0</v>
      </c>
      <c r="I18" s="4"/>
      <c r="J18" s="7">
        <f>'Prop Share of NPL'!H20</f>
        <v>0</v>
      </c>
      <c r="K18" s="4"/>
      <c r="L18" s="7">
        <f>'Prop Share of NPL'!J20</f>
        <v>0</v>
      </c>
      <c r="M18" s="4"/>
      <c r="N18" s="7">
        <f>'Prop Share of NPL'!L20</f>
        <v>0</v>
      </c>
      <c r="O18" s="4"/>
      <c r="P18" s="7">
        <f>'Prop Share of NPL'!N20</f>
        <v>0</v>
      </c>
      <c r="Q18" s="4"/>
      <c r="R18" s="7">
        <f>'Prop Share of NPL'!P20</f>
        <v>0</v>
      </c>
      <c r="S18" s="4"/>
      <c r="T18" s="7">
        <f>'Prop Share of NPL'!R20</f>
        <v>0</v>
      </c>
      <c r="U18" s="4"/>
      <c r="V18" s="4"/>
      <c r="W18" s="537"/>
      <c r="X18" s="537"/>
      <c r="Y18" s="537"/>
    </row>
    <row r="19" spans="1:25" x14ac:dyDescent="0.2">
      <c r="A19" s="550"/>
      <c r="B19" s="5"/>
      <c r="C19" s="4"/>
      <c r="D19" s="5"/>
      <c r="E19" s="4"/>
      <c r="F19" s="5"/>
      <c r="G19" s="4"/>
      <c r="H19" s="5"/>
      <c r="I19" s="4"/>
      <c r="J19" s="5"/>
      <c r="K19" s="4"/>
      <c r="L19" s="5"/>
      <c r="M19" s="4"/>
      <c r="N19" s="5"/>
      <c r="O19" s="4"/>
      <c r="P19" s="5"/>
      <c r="Q19" s="4"/>
      <c r="R19" s="5"/>
      <c r="S19" s="4"/>
      <c r="T19" s="5"/>
      <c r="U19" s="4"/>
      <c r="V19" s="4"/>
      <c r="W19" s="537"/>
      <c r="X19" s="537"/>
      <c r="Y19" s="537"/>
    </row>
    <row r="20" spans="1:25" x14ac:dyDescent="0.2">
      <c r="A20" s="547" t="s">
        <v>453</v>
      </c>
      <c r="B20" s="15" t="e">
        <f>B13/B18</f>
        <v>#DIV/0!</v>
      </c>
      <c r="C20" s="4"/>
      <c r="D20" s="15" t="e">
        <f>D13/D18</f>
        <v>#DIV/0!</v>
      </c>
      <c r="E20" s="4"/>
      <c r="F20" s="15" t="e">
        <f>F13/F18</f>
        <v>#DIV/0!</v>
      </c>
      <c r="G20" s="4"/>
      <c r="H20" s="15" t="e">
        <f>H13/H18</f>
        <v>#DIV/0!</v>
      </c>
      <c r="I20" s="4"/>
      <c r="J20" s="15" t="e">
        <f>J13/J18</f>
        <v>#DIV/0!</v>
      </c>
      <c r="K20" s="4"/>
      <c r="L20" s="15" t="e">
        <f>L13/L18</f>
        <v>#DIV/0!</v>
      </c>
      <c r="M20" s="4"/>
      <c r="N20" s="15" t="e">
        <f>N13/N18</f>
        <v>#DIV/0!</v>
      </c>
      <c r="O20" s="4"/>
      <c r="P20" s="15" t="e">
        <f>P13/P18</f>
        <v>#DIV/0!</v>
      </c>
      <c r="Q20" s="4"/>
      <c r="R20" s="15" t="e">
        <f>R13/R18</f>
        <v>#DIV/0!</v>
      </c>
      <c r="S20" s="4"/>
      <c r="T20" s="15" t="e">
        <f>T13/T18</f>
        <v>#DIV/0!</v>
      </c>
      <c r="U20" s="4"/>
      <c r="V20" s="4"/>
      <c r="W20" s="537"/>
      <c r="X20" s="537"/>
      <c r="Y20" s="537"/>
    </row>
    <row r="21" spans="1:25" x14ac:dyDescent="0.2">
      <c r="A21" s="549"/>
      <c r="B21" s="4"/>
      <c r="C21" s="4"/>
      <c r="D21" s="4"/>
      <c r="E21" s="4"/>
      <c r="F21" s="4"/>
      <c r="G21" s="4"/>
      <c r="H21" s="4"/>
      <c r="I21" s="4"/>
      <c r="J21" s="4"/>
      <c r="K21" s="4"/>
      <c r="L21" s="4"/>
      <c r="M21" s="4"/>
      <c r="N21" s="4"/>
      <c r="O21" s="4"/>
      <c r="P21" s="4"/>
      <c r="Q21" s="4"/>
      <c r="R21" s="4"/>
      <c r="S21" s="4"/>
      <c r="T21" s="4"/>
      <c r="U21" s="4"/>
      <c r="V21" s="4"/>
      <c r="W21" s="537"/>
      <c r="X21" s="537"/>
      <c r="Y21" s="537"/>
    </row>
    <row r="22" spans="1:25" x14ac:dyDescent="0.2">
      <c r="A22" s="561"/>
      <c r="B22" s="15"/>
      <c r="C22" s="4"/>
      <c r="D22" s="15"/>
      <c r="E22" s="4"/>
      <c r="F22" s="15"/>
      <c r="G22" s="4"/>
      <c r="H22" s="15"/>
      <c r="I22" s="4"/>
      <c r="J22" s="15"/>
      <c r="K22" s="4"/>
      <c r="L22" s="15"/>
      <c r="M22" s="4"/>
      <c r="N22" s="15"/>
      <c r="O22" s="4"/>
      <c r="P22" s="15"/>
      <c r="Q22" s="4"/>
      <c r="R22" s="15"/>
      <c r="S22" s="4"/>
      <c r="T22" s="15"/>
      <c r="U22" s="4"/>
      <c r="V22" s="4"/>
      <c r="W22" s="537"/>
      <c r="X22" s="537"/>
      <c r="Y22" s="537"/>
    </row>
    <row r="23" spans="1:25" x14ac:dyDescent="0.2">
      <c r="A23" s="537"/>
      <c r="B23" s="537"/>
      <c r="C23" s="537"/>
      <c r="D23" s="537"/>
      <c r="E23" s="537"/>
      <c r="F23" s="537"/>
      <c r="G23" s="537"/>
      <c r="H23" s="537"/>
      <c r="I23" s="537"/>
      <c r="J23" s="537"/>
      <c r="K23" s="537"/>
      <c r="L23" s="537"/>
      <c r="M23" s="537"/>
      <c r="N23" s="537"/>
      <c r="O23" s="537"/>
      <c r="P23" s="537"/>
      <c r="Q23" s="537"/>
      <c r="R23" s="537"/>
      <c r="S23" s="537"/>
      <c r="T23" s="537"/>
      <c r="U23" s="537"/>
      <c r="V23" s="537"/>
      <c r="W23" s="537"/>
      <c r="X23" s="537"/>
      <c r="Y23" s="537"/>
    </row>
    <row r="24" spans="1:25" x14ac:dyDescent="0.2">
      <c r="A24" s="537"/>
      <c r="B24" s="537"/>
      <c r="C24" s="537"/>
      <c r="D24" s="537"/>
      <c r="E24" s="537"/>
      <c r="F24" s="537"/>
      <c r="G24" s="537"/>
      <c r="H24" s="537"/>
      <c r="I24" s="537"/>
      <c r="J24" s="537"/>
      <c r="K24" s="537"/>
      <c r="L24" s="537"/>
      <c r="M24" s="537"/>
      <c r="N24" s="537"/>
      <c r="O24" s="537"/>
      <c r="P24" s="537"/>
      <c r="Q24" s="537"/>
      <c r="R24" s="537"/>
      <c r="S24" s="537"/>
      <c r="T24" s="537"/>
      <c r="U24" s="537"/>
      <c r="V24" s="537"/>
      <c r="W24" s="537"/>
      <c r="X24" s="537"/>
      <c r="Y24" s="537"/>
    </row>
    <row r="25" spans="1:25" x14ac:dyDescent="0.2">
      <c r="A25" s="537" t="s">
        <v>93</v>
      </c>
      <c r="B25" s="537"/>
      <c r="C25" s="537"/>
      <c r="D25" s="537"/>
      <c r="E25" s="537"/>
      <c r="F25" s="537"/>
      <c r="G25" s="537"/>
      <c r="H25" s="537"/>
      <c r="I25" s="537"/>
      <c r="J25" s="537"/>
      <c r="K25" s="537"/>
      <c r="L25" s="537"/>
      <c r="M25" s="537"/>
      <c r="N25" s="537"/>
      <c r="O25" s="537"/>
      <c r="P25" s="537"/>
      <c r="Q25" s="537"/>
      <c r="R25" s="537"/>
      <c r="S25" s="537"/>
      <c r="T25" s="537"/>
      <c r="U25" s="537"/>
      <c r="V25" s="537"/>
      <c r="W25" s="537"/>
      <c r="X25" s="537"/>
      <c r="Y25" s="537"/>
    </row>
    <row r="26" spans="1:25" x14ac:dyDescent="0.2">
      <c r="A26" s="537"/>
      <c r="B26" s="537"/>
      <c r="C26" s="537"/>
      <c r="D26" s="537"/>
      <c r="E26" s="537"/>
      <c r="F26" s="537"/>
      <c r="G26" s="537"/>
      <c r="H26" s="537"/>
      <c r="I26" s="537"/>
      <c r="J26" s="537"/>
      <c r="K26" s="537"/>
      <c r="L26" s="537"/>
      <c r="M26" s="537"/>
      <c r="N26" s="537"/>
      <c r="O26" s="537"/>
      <c r="P26" s="537"/>
      <c r="Q26" s="537"/>
      <c r="R26" s="537"/>
      <c r="S26" s="537"/>
      <c r="T26" s="537"/>
      <c r="U26" s="537"/>
      <c r="V26" s="537"/>
      <c r="W26" s="537"/>
      <c r="X26" s="537"/>
      <c r="Y26" s="537"/>
    </row>
    <row r="27" spans="1:25" x14ac:dyDescent="0.2">
      <c r="A27" s="537" t="s">
        <v>94</v>
      </c>
      <c r="B27" s="537"/>
      <c r="C27" s="537"/>
      <c r="D27" s="537"/>
      <c r="E27" s="537"/>
      <c r="F27" s="537"/>
      <c r="G27" s="537"/>
      <c r="H27" s="537"/>
      <c r="I27" s="537"/>
      <c r="J27" s="537"/>
      <c r="K27" s="537"/>
      <c r="L27" s="537"/>
      <c r="M27" s="537"/>
      <c r="N27" s="537"/>
      <c r="O27" s="537"/>
      <c r="P27" s="537"/>
      <c r="Q27" s="537"/>
      <c r="R27" s="537"/>
      <c r="S27" s="537"/>
      <c r="T27" s="537"/>
      <c r="U27" s="537"/>
      <c r="V27" s="537"/>
      <c r="W27" s="537"/>
      <c r="X27" s="537"/>
      <c r="Y27" s="537"/>
    </row>
    <row r="28" spans="1:25" x14ac:dyDescent="0.2">
      <c r="A28" s="537"/>
      <c r="B28" s="537"/>
      <c r="C28" s="537"/>
      <c r="D28" s="537"/>
      <c r="E28" s="537"/>
      <c r="F28" s="537"/>
      <c r="G28" s="537"/>
      <c r="H28" s="537"/>
      <c r="I28" s="537"/>
      <c r="J28" s="537"/>
      <c r="K28" s="537"/>
      <c r="L28" s="537"/>
      <c r="M28" s="537"/>
      <c r="N28" s="537"/>
      <c r="O28" s="537"/>
      <c r="P28" s="537"/>
      <c r="Q28" s="537"/>
      <c r="R28" s="537"/>
      <c r="S28" s="537"/>
      <c r="T28" s="537"/>
      <c r="U28" s="537"/>
      <c r="V28" s="537"/>
      <c r="W28" s="537"/>
      <c r="X28" s="537"/>
      <c r="Y28" s="537"/>
    </row>
    <row r="29" spans="1:25" ht="15" x14ac:dyDescent="0.25">
      <c r="A29" s="376"/>
      <c r="B29" s="377"/>
      <c r="C29" s="377"/>
      <c r="D29" s="377"/>
      <c r="E29" s="377"/>
      <c r="F29" s="377"/>
      <c r="G29" s="377"/>
      <c r="H29" s="377"/>
      <c r="I29" s="377"/>
      <c r="J29" s="377"/>
      <c r="K29" s="377"/>
      <c r="L29" s="377"/>
    </row>
    <row r="30" spans="1:25" x14ac:dyDescent="0.2">
      <c r="A30" s="377"/>
      <c r="B30" s="377"/>
      <c r="C30" s="377"/>
      <c r="D30" s="377"/>
      <c r="E30" s="377"/>
      <c r="F30" s="377"/>
      <c r="G30" s="377"/>
      <c r="H30" s="377"/>
      <c r="I30" s="377"/>
      <c r="J30" s="377"/>
      <c r="K30" s="377"/>
      <c r="L30" s="377"/>
    </row>
    <row r="31" spans="1:25" x14ac:dyDescent="0.2">
      <c r="A31" s="377"/>
      <c r="B31" s="377"/>
      <c r="C31" s="377"/>
      <c r="D31" s="377"/>
      <c r="E31" s="377"/>
      <c r="F31" s="377"/>
      <c r="G31" s="377"/>
      <c r="H31" s="377"/>
      <c r="I31" s="377"/>
      <c r="J31" s="377"/>
      <c r="K31" s="377"/>
      <c r="L31" s="377"/>
    </row>
    <row r="32" spans="1:25" x14ac:dyDescent="0.2">
      <c r="A32" s="377"/>
      <c r="B32" s="377"/>
      <c r="C32" s="377"/>
      <c r="D32" s="377"/>
      <c r="E32" s="377"/>
      <c r="F32" s="377"/>
      <c r="G32" s="377"/>
      <c r="H32" s="377"/>
      <c r="I32" s="377"/>
      <c r="J32" s="377"/>
      <c r="K32" s="377"/>
      <c r="L32" s="377"/>
    </row>
    <row r="33" spans="1:12" x14ac:dyDescent="0.2">
      <c r="A33" s="377"/>
      <c r="B33" s="377"/>
      <c r="C33" s="377"/>
      <c r="D33" s="377"/>
      <c r="E33" s="377"/>
      <c r="F33" s="377"/>
      <c r="G33" s="377"/>
      <c r="H33" s="377"/>
      <c r="I33" s="377"/>
      <c r="J33" s="377"/>
      <c r="K33" s="377"/>
      <c r="L33" s="377"/>
    </row>
  </sheetData>
  <sheetProtection algorithmName="SHA-512" hashValue="S5zB38gFXqO0DeinOMiLOLwYte5xSl7A5FoAxjkFnPr8FZkWEm0/Lz38rdatPhqYkD37EmQg6xvxHqGsKJaZ6A==" saltValue="IMK5hYgMXv13ksrk7qRihQ==" spinCount="100000" sheet="1" objects="1" scenarios="1"/>
  <mergeCells count="1">
    <mergeCell ref="W4:Y7"/>
  </mergeCells>
  <pageMargins left="0.7" right="0.7" top="0.75" bottom="0.75" header="0.3" footer="0.3"/>
  <pageSetup scale="63"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7030A0"/>
  </sheetPr>
  <dimension ref="A1:AG120"/>
  <sheetViews>
    <sheetView topLeftCell="A15" workbookViewId="0">
      <selection activeCell="G33" sqref="G33"/>
    </sheetView>
  </sheetViews>
  <sheetFormatPr defaultColWidth="8.88671875" defaultRowHeight="15" x14ac:dyDescent="0.2"/>
  <cols>
    <col min="1" max="1" width="35.44140625" customWidth="1"/>
    <col min="2" max="2" width="12.109375" bestFit="1" customWidth="1"/>
    <col min="3" max="3" width="1.109375" customWidth="1"/>
    <col min="4" max="4" width="12" hidden="1" customWidth="1"/>
    <col min="5" max="5" width="1.33203125" hidden="1" customWidth="1"/>
    <col min="6" max="6" width="12" customWidth="1"/>
    <col min="7" max="7" width="1" customWidth="1"/>
    <col min="8" max="8" width="12" customWidth="1"/>
    <col min="9" max="9" width="1.33203125" customWidth="1"/>
    <col min="10" max="10" width="12" customWidth="1"/>
    <col min="11" max="11" width="1.77734375" customWidth="1"/>
    <col min="12" max="12" width="12" style="26" customWidth="1"/>
    <col min="13" max="13" width="1.21875" style="26" customWidth="1"/>
    <col min="14" max="14" width="12" style="26" hidden="1" customWidth="1"/>
    <col min="15" max="15" width="1.33203125" hidden="1" customWidth="1"/>
    <col min="16" max="16" width="12" style="381" customWidth="1"/>
    <col min="17" max="17" width="2" customWidth="1"/>
    <col min="18" max="18" width="11" style="26" customWidth="1"/>
    <col min="19" max="19" width="1.33203125" customWidth="1"/>
    <col min="20" max="20" width="12.44140625" hidden="1" customWidth="1"/>
    <col min="21" max="21" width="1.33203125" hidden="1" customWidth="1"/>
    <col min="22" max="22" width="12" customWidth="1"/>
    <col min="23" max="23" width="1" customWidth="1"/>
    <col min="24" max="24" width="11" hidden="1" customWidth="1"/>
    <col min="25" max="25" width="1.33203125" hidden="1" customWidth="1"/>
    <col min="26" max="26" width="12" customWidth="1"/>
    <col min="27" max="27" width="2" customWidth="1"/>
    <col min="28" max="28" width="12" customWidth="1"/>
    <col min="29" max="29" width="1.33203125" customWidth="1"/>
    <col min="30" max="30" width="12" customWidth="1"/>
    <col min="31" max="31" width="1.33203125" customWidth="1"/>
    <col min="32" max="32" width="12" customWidth="1"/>
    <col min="33" max="33" width="2" customWidth="1"/>
  </cols>
  <sheetData>
    <row r="1" spans="1:33" ht="15.75" x14ac:dyDescent="0.25">
      <c r="A1" s="27" t="s">
        <v>545</v>
      </c>
    </row>
    <row r="2" spans="1:33" ht="15.75" x14ac:dyDescent="0.25">
      <c r="A2" s="27"/>
    </row>
    <row r="3" spans="1:33" x14ac:dyDescent="0.2">
      <c r="A3" s="175" t="s">
        <v>192</v>
      </c>
    </row>
    <row r="4" spans="1:33" x14ac:dyDescent="0.2">
      <c r="A4" s="175" t="s">
        <v>193</v>
      </c>
    </row>
    <row r="5" spans="1:33" x14ac:dyDescent="0.2">
      <c r="A5" s="175"/>
    </row>
    <row r="6" spans="1:33" ht="18" customHeight="1" x14ac:dyDescent="0.2">
      <c r="A6" s="465" t="s">
        <v>478</v>
      </c>
      <c r="B6" s="465"/>
      <c r="C6" s="465"/>
      <c r="D6" s="465"/>
      <c r="E6" s="465"/>
      <c r="F6" s="465"/>
      <c r="G6" s="465"/>
      <c r="H6" s="465"/>
      <c r="I6" s="465"/>
      <c r="J6" s="465"/>
      <c r="K6" s="465"/>
      <c r="L6" s="465"/>
      <c r="M6" s="465"/>
      <c r="N6" s="465"/>
      <c r="O6" s="465"/>
      <c r="P6" s="465"/>
      <c r="Q6" s="465"/>
      <c r="R6" s="465"/>
      <c r="S6" s="465"/>
      <c r="T6" s="465"/>
      <c r="U6" s="465"/>
      <c r="V6" s="465"/>
    </row>
    <row r="7" spans="1:33" ht="18.75" customHeight="1" x14ac:dyDescent="0.2">
      <c r="A7" s="465"/>
      <c r="B7" s="465"/>
      <c r="C7" s="465"/>
      <c r="D7" s="465"/>
      <c r="E7" s="465"/>
      <c r="F7" s="465"/>
      <c r="G7" s="465"/>
      <c r="H7" s="465"/>
      <c r="I7" s="465"/>
      <c r="J7" s="465"/>
      <c r="K7" s="465"/>
      <c r="L7" s="465"/>
      <c r="M7" s="465"/>
      <c r="N7" s="465"/>
      <c r="O7" s="465"/>
      <c r="P7" s="465"/>
      <c r="Q7" s="465"/>
      <c r="R7" s="465"/>
      <c r="S7" s="465"/>
      <c r="T7" s="465"/>
      <c r="U7" s="465"/>
      <c r="V7" s="465"/>
    </row>
    <row r="8" spans="1:33" ht="15.75" thickBot="1" x14ac:dyDescent="0.25"/>
    <row r="9" spans="1:33" ht="18.75" x14ac:dyDescent="0.3">
      <c r="A9" s="471" t="s">
        <v>167</v>
      </c>
      <c r="B9" s="472"/>
      <c r="C9" s="472"/>
      <c r="D9" s="472"/>
      <c r="E9" s="472"/>
      <c r="F9" s="472"/>
      <c r="G9" s="472"/>
      <c r="H9" s="472"/>
      <c r="I9" s="472"/>
      <c r="J9" s="472"/>
      <c r="K9" s="472"/>
      <c r="L9" s="472"/>
      <c r="M9" s="472"/>
      <c r="N9" s="472"/>
      <c r="O9" s="472"/>
      <c r="P9" s="472"/>
      <c r="Q9" s="472"/>
      <c r="R9" s="472"/>
      <c r="S9" s="472"/>
      <c r="T9" s="472"/>
      <c r="U9" s="472"/>
      <c r="V9" s="472"/>
      <c r="W9" s="472"/>
      <c r="X9" s="472"/>
      <c r="Y9" s="472"/>
      <c r="Z9" s="472"/>
      <c r="AA9" s="472"/>
      <c r="AB9" s="472"/>
      <c r="AC9" s="472"/>
      <c r="AD9" s="472"/>
      <c r="AE9" s="472"/>
      <c r="AF9" s="472"/>
      <c r="AG9" s="473"/>
    </row>
    <row r="10" spans="1:33" ht="18.75" x14ac:dyDescent="0.3">
      <c r="A10" s="468" t="s">
        <v>168</v>
      </c>
      <c r="B10" s="469"/>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69"/>
      <c r="AF10" s="469"/>
      <c r="AG10" s="470"/>
    </row>
    <row r="11" spans="1:33" ht="18.75" x14ac:dyDescent="0.3">
      <c r="A11" s="468" t="s">
        <v>544</v>
      </c>
      <c r="B11" s="469"/>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69"/>
      <c r="AF11" s="469"/>
      <c r="AG11" s="470"/>
    </row>
    <row r="12" spans="1:33" ht="15.75" thickBot="1" x14ac:dyDescent="0.25">
      <c r="A12" s="176"/>
      <c r="D12" s="177"/>
      <c r="E12" s="177"/>
      <c r="F12" s="177"/>
      <c r="G12" s="177"/>
      <c r="H12" s="177"/>
      <c r="I12" s="177"/>
      <c r="J12" s="177"/>
      <c r="K12" s="177"/>
      <c r="L12" s="379"/>
      <c r="M12" s="379"/>
      <c r="N12" s="379"/>
      <c r="P12" s="346"/>
      <c r="R12" s="24"/>
      <c r="AG12" s="160"/>
    </row>
    <row r="13" spans="1:33" ht="38.25" customHeight="1" thickBot="1" x14ac:dyDescent="0.3">
      <c r="A13" s="176"/>
      <c r="B13" s="178"/>
      <c r="C13" s="178"/>
      <c r="D13" s="459" t="s">
        <v>11</v>
      </c>
      <c r="E13" s="460"/>
      <c r="F13" s="460"/>
      <c r="G13" s="460"/>
      <c r="H13" s="460"/>
      <c r="I13" s="460"/>
      <c r="J13" s="460"/>
      <c r="K13" s="460"/>
      <c r="L13" s="460"/>
      <c r="M13" s="460"/>
      <c r="N13" s="460"/>
      <c r="O13" s="460"/>
      <c r="P13" s="461"/>
      <c r="Q13" s="179"/>
      <c r="R13" s="459" t="s">
        <v>12</v>
      </c>
      <c r="S13" s="460"/>
      <c r="T13" s="460"/>
      <c r="U13" s="460"/>
      <c r="V13" s="460"/>
      <c r="W13" s="460"/>
      <c r="X13" s="460"/>
      <c r="Y13" s="460"/>
      <c r="Z13" s="461"/>
      <c r="AB13" s="462" t="s">
        <v>356</v>
      </c>
      <c r="AC13" s="463"/>
      <c r="AD13" s="463"/>
      <c r="AE13" s="463"/>
      <c r="AF13" s="464"/>
      <c r="AG13" s="160"/>
    </row>
    <row r="14" spans="1:33" ht="103.15" customHeight="1" thickBot="1" x14ac:dyDescent="0.35">
      <c r="A14" s="180" t="s">
        <v>169</v>
      </c>
      <c r="B14" s="181" t="s">
        <v>170</v>
      </c>
      <c r="C14" s="182"/>
      <c r="F14" s="181" t="s">
        <v>355</v>
      </c>
      <c r="G14" s="183"/>
      <c r="H14" s="181" t="s">
        <v>353</v>
      </c>
      <c r="I14" s="183"/>
      <c r="J14" s="181" t="s">
        <v>354</v>
      </c>
      <c r="K14" s="183"/>
      <c r="L14" s="362" t="s">
        <v>546</v>
      </c>
      <c r="M14" s="396"/>
      <c r="N14" s="181" t="s">
        <v>353</v>
      </c>
      <c r="O14" s="183"/>
      <c r="P14" s="382" t="s">
        <v>171</v>
      </c>
      <c r="Q14" s="182"/>
      <c r="R14" s="362" t="s">
        <v>355</v>
      </c>
      <c r="S14" s="182"/>
      <c r="T14" s="181" t="s">
        <v>353</v>
      </c>
      <c r="U14" s="183"/>
      <c r="V14" s="181" t="s">
        <v>354</v>
      </c>
      <c r="W14" s="183"/>
      <c r="X14" s="181" t="s">
        <v>455</v>
      </c>
      <c r="Y14" s="183"/>
      <c r="Z14" s="184" t="s">
        <v>172</v>
      </c>
      <c r="AA14" s="182"/>
      <c r="AB14" s="181" t="s">
        <v>173</v>
      </c>
      <c r="AC14" s="182"/>
      <c r="AD14" s="181" t="s">
        <v>357</v>
      </c>
      <c r="AE14" s="185"/>
      <c r="AF14" s="181" t="s">
        <v>543</v>
      </c>
      <c r="AG14" s="186"/>
    </row>
    <row r="15" spans="1:33" ht="18.75" x14ac:dyDescent="0.3">
      <c r="A15" s="180"/>
      <c r="B15" s="187"/>
      <c r="C15" s="188"/>
      <c r="F15" s="187"/>
      <c r="G15" s="187"/>
      <c r="H15" s="187"/>
      <c r="I15" s="187"/>
      <c r="J15" s="187"/>
      <c r="K15" s="187"/>
      <c r="L15" s="363"/>
      <c r="M15" s="363"/>
      <c r="N15" s="187"/>
      <c r="O15" s="187"/>
      <c r="P15" s="383"/>
      <c r="Q15" s="189"/>
      <c r="R15" s="363"/>
      <c r="S15" s="189"/>
      <c r="T15" s="187"/>
      <c r="U15" s="187"/>
      <c r="V15" s="187"/>
      <c r="W15" s="187"/>
      <c r="X15" s="187"/>
      <c r="Y15" s="187"/>
      <c r="Z15" s="187"/>
      <c r="AA15" s="189"/>
      <c r="AB15" s="187"/>
      <c r="AC15" s="189"/>
      <c r="AD15" s="187"/>
      <c r="AE15" s="190"/>
      <c r="AF15" s="187"/>
      <c r="AG15" s="186"/>
    </row>
    <row r="16" spans="1:33" ht="18.75" x14ac:dyDescent="0.3">
      <c r="A16" s="206" t="s">
        <v>557</v>
      </c>
      <c r="B16" s="104">
        <v>0</v>
      </c>
      <c r="C16" s="284"/>
      <c r="F16" s="104">
        <v>0</v>
      </c>
      <c r="G16" s="340"/>
      <c r="H16" s="104">
        <v>0</v>
      </c>
      <c r="I16" s="284"/>
      <c r="J16" s="104">
        <v>0</v>
      </c>
      <c r="K16" s="340"/>
      <c r="L16" s="104">
        <v>0</v>
      </c>
      <c r="M16" s="340"/>
      <c r="N16" s="104">
        <v>0</v>
      </c>
      <c r="O16" s="284"/>
      <c r="P16" s="104">
        <f>SUM(F16:O16)</f>
        <v>0</v>
      </c>
      <c r="Q16" s="286"/>
      <c r="R16" s="104">
        <v>0</v>
      </c>
      <c r="S16" s="284"/>
      <c r="T16" s="104"/>
      <c r="U16" s="284"/>
      <c r="V16" s="104">
        <v>0</v>
      </c>
      <c r="W16" s="340"/>
      <c r="X16" s="104">
        <v>0</v>
      </c>
      <c r="Y16" s="284"/>
      <c r="Z16" s="285">
        <f>SUM(R16:X16)</f>
        <v>0</v>
      </c>
      <c r="AA16" s="286"/>
      <c r="AB16" s="104">
        <v>0</v>
      </c>
      <c r="AC16" s="284"/>
      <c r="AD16" s="104">
        <v>0</v>
      </c>
      <c r="AE16" s="284"/>
      <c r="AF16" s="285">
        <f>SUM(AB16:AD16)</f>
        <v>0</v>
      </c>
      <c r="AG16" s="186"/>
    </row>
    <row r="17" spans="1:33" ht="18.75" x14ac:dyDescent="0.3">
      <c r="A17" s="192"/>
      <c r="B17" s="285"/>
      <c r="C17" s="287"/>
      <c r="F17" s="285"/>
      <c r="G17" s="285"/>
      <c r="H17" s="285"/>
      <c r="I17" s="287"/>
      <c r="J17" s="285"/>
      <c r="K17" s="285"/>
      <c r="L17" s="364"/>
      <c r="M17" s="364"/>
      <c r="N17" s="285"/>
      <c r="O17" s="287"/>
      <c r="P17" s="378"/>
      <c r="Q17" s="286"/>
      <c r="R17" s="364"/>
      <c r="S17" s="287"/>
      <c r="T17" s="285"/>
      <c r="U17" s="287"/>
      <c r="V17" s="285"/>
      <c r="W17" s="285"/>
      <c r="X17" s="285"/>
      <c r="Y17" s="287"/>
      <c r="Z17" s="285"/>
      <c r="AA17" s="286"/>
      <c r="AB17" s="285"/>
      <c r="AC17" s="287"/>
      <c r="AD17" s="285"/>
      <c r="AE17" s="287"/>
      <c r="AF17" s="285"/>
      <c r="AG17" s="186"/>
    </row>
    <row r="18" spans="1:33" ht="18.75" x14ac:dyDescent="0.3">
      <c r="A18" s="191" t="s">
        <v>188</v>
      </c>
      <c r="B18" s="336">
        <v>563596376</v>
      </c>
      <c r="C18" s="284"/>
      <c r="F18" s="336">
        <v>20573651</v>
      </c>
      <c r="G18" s="336"/>
      <c r="H18" s="336">
        <v>9927040</v>
      </c>
      <c r="I18" s="284"/>
      <c r="J18" s="336">
        <v>31742913</v>
      </c>
      <c r="K18" s="336"/>
      <c r="L18" s="336">
        <v>23785014</v>
      </c>
      <c r="M18" s="336"/>
      <c r="N18" s="336"/>
      <c r="O18" s="284"/>
      <c r="P18" s="336">
        <f>SUM(F18:O18)</f>
        <v>86028618</v>
      </c>
      <c r="Q18" s="286"/>
      <c r="R18" s="336">
        <v>1416249</v>
      </c>
      <c r="S18" s="284"/>
      <c r="T18" s="336"/>
      <c r="U18" s="284"/>
      <c r="V18" s="336">
        <v>14611228</v>
      </c>
      <c r="W18" s="336"/>
      <c r="X18" s="336">
        <v>0</v>
      </c>
      <c r="Y18" s="284"/>
      <c r="Z18" s="285">
        <f>SUM(R18:X18)</f>
        <v>16027477</v>
      </c>
      <c r="AA18" s="286"/>
      <c r="AB18" s="336">
        <v>71530813</v>
      </c>
      <c r="AC18" s="284"/>
      <c r="AD18" s="336">
        <v>7145643</v>
      </c>
      <c r="AE18" s="284"/>
      <c r="AF18" s="285">
        <f>SUM(AB18:AD18)</f>
        <v>78676456</v>
      </c>
      <c r="AG18" s="186"/>
    </row>
    <row r="19" spans="1:33" ht="18.75" x14ac:dyDescent="0.3">
      <c r="A19" s="191" t="s">
        <v>189</v>
      </c>
      <c r="B19" s="336">
        <v>1536845624</v>
      </c>
      <c r="C19" s="284"/>
      <c r="F19" s="336">
        <v>56101364</v>
      </c>
      <c r="G19" s="336"/>
      <c r="H19" s="336">
        <v>27069598</v>
      </c>
      <c r="I19" s="284"/>
      <c r="J19" s="336">
        <v>7429979</v>
      </c>
      <c r="K19" s="336"/>
      <c r="L19" s="336">
        <v>64858287</v>
      </c>
      <c r="M19" s="336"/>
      <c r="N19" s="336"/>
      <c r="O19" s="284"/>
      <c r="P19" s="336">
        <f>SUM(F19:O19)</f>
        <v>155459228</v>
      </c>
      <c r="Q19" s="286"/>
      <c r="R19" s="336">
        <v>3861907</v>
      </c>
      <c r="S19" s="284"/>
      <c r="T19" s="336"/>
      <c r="U19" s="284"/>
      <c r="V19" s="336">
        <v>52638694</v>
      </c>
      <c r="W19" s="336"/>
      <c r="X19" s="336">
        <v>0</v>
      </c>
      <c r="Y19" s="284"/>
      <c r="Z19" s="285">
        <f>SUM(R19:X19)</f>
        <v>56500601</v>
      </c>
      <c r="AA19" s="286"/>
      <c r="AB19" s="336">
        <v>195054158</v>
      </c>
      <c r="AC19" s="284"/>
      <c r="AD19" s="336">
        <v>-13239965</v>
      </c>
      <c r="AE19" s="284"/>
      <c r="AF19" s="285">
        <f>SUM(AB19:AD19)</f>
        <v>181814193</v>
      </c>
      <c r="AG19" s="186"/>
    </row>
    <row r="20" spans="1:33" ht="18.75" x14ac:dyDescent="0.3">
      <c r="A20" s="180"/>
      <c r="B20" s="335"/>
      <c r="C20" s="284"/>
      <c r="F20" s="335"/>
      <c r="G20" s="335"/>
      <c r="H20" s="335"/>
      <c r="I20" s="284"/>
      <c r="J20" s="335"/>
      <c r="K20" s="335"/>
      <c r="L20" s="337"/>
      <c r="M20" s="337"/>
      <c r="N20" s="335"/>
      <c r="O20" s="284"/>
      <c r="P20" s="336"/>
      <c r="Q20" s="444"/>
      <c r="R20" s="337"/>
      <c r="S20" s="284"/>
      <c r="T20" s="335"/>
      <c r="U20" s="284"/>
      <c r="V20" s="335"/>
      <c r="W20" s="335"/>
      <c r="X20" s="335"/>
      <c r="Y20" s="284"/>
      <c r="Z20" s="285"/>
      <c r="AA20" s="444"/>
      <c r="AB20" s="335"/>
      <c r="AC20" s="284"/>
      <c r="AD20" s="335"/>
      <c r="AE20" s="284"/>
      <c r="AF20" s="285"/>
      <c r="AG20" s="186"/>
    </row>
    <row r="21" spans="1:33" ht="18.75" x14ac:dyDescent="0.3">
      <c r="A21" s="193" t="s">
        <v>175</v>
      </c>
      <c r="B21" s="337">
        <v>2289406000</v>
      </c>
      <c r="C21" s="284"/>
      <c r="F21" s="337">
        <v>83573000</v>
      </c>
      <c r="G21" s="337"/>
      <c r="H21" s="337">
        <v>40325000</v>
      </c>
      <c r="I21" s="284"/>
      <c r="J21" s="337">
        <v>88677968</v>
      </c>
      <c r="K21" s="337"/>
      <c r="L21" s="337">
        <v>96618000</v>
      </c>
      <c r="M21" s="337"/>
      <c r="N21" s="337"/>
      <c r="O21" s="284"/>
      <c r="P21" s="337">
        <f>SUM(F21:O21)</f>
        <v>309193968</v>
      </c>
      <c r="Q21" s="444"/>
      <c r="R21" s="337">
        <v>5753000</v>
      </c>
      <c r="S21" s="284"/>
      <c r="T21" s="337"/>
      <c r="U21" s="284"/>
      <c r="V21" s="337">
        <v>88677968</v>
      </c>
      <c r="W21" s="337"/>
      <c r="X21" s="337">
        <v>0</v>
      </c>
      <c r="Y21" s="284"/>
      <c r="Z21" s="337">
        <f>SUM(R21:X21)</f>
        <v>94430968</v>
      </c>
      <c r="AA21" s="444"/>
      <c r="AB21" s="337">
        <v>290568000</v>
      </c>
      <c r="AC21" s="284"/>
      <c r="AD21" s="337">
        <v>0</v>
      </c>
      <c r="AE21" s="284"/>
      <c r="AF21" s="337">
        <f>SUM(AB21:AD21)</f>
        <v>290568000</v>
      </c>
      <c r="AG21" s="186"/>
    </row>
    <row r="22" spans="1:33" x14ac:dyDescent="0.2">
      <c r="A22" s="194"/>
      <c r="B22" s="195"/>
      <c r="C22" s="195"/>
      <c r="D22" s="196"/>
      <c r="E22" s="196"/>
      <c r="F22" s="195"/>
      <c r="G22" s="195"/>
      <c r="H22" s="195"/>
      <c r="I22" s="196"/>
      <c r="J22" s="196"/>
      <c r="K22" s="196"/>
      <c r="L22" s="379"/>
      <c r="M22" s="379"/>
      <c r="N22" s="379"/>
      <c r="O22" s="195"/>
      <c r="P22" s="346"/>
      <c r="Q22" s="195"/>
      <c r="R22" s="24"/>
      <c r="S22" s="195"/>
      <c r="T22" s="195"/>
      <c r="U22" s="195"/>
      <c r="V22" s="195"/>
      <c r="W22" s="195"/>
      <c r="X22" s="195"/>
      <c r="Y22" s="195"/>
      <c r="Z22" s="195"/>
      <c r="AA22" s="195"/>
      <c r="AB22" s="195"/>
      <c r="AC22" s="195"/>
      <c r="AD22" s="195"/>
      <c r="AE22" s="195"/>
      <c r="AF22" s="195"/>
      <c r="AG22" s="197"/>
    </row>
    <row r="23" spans="1:33" ht="16.5" thickBot="1" x14ac:dyDescent="0.3">
      <c r="A23" s="198"/>
      <c r="B23" s="199"/>
      <c r="C23" s="199"/>
      <c r="D23" s="200"/>
      <c r="E23" s="200"/>
      <c r="F23" s="199"/>
      <c r="G23" s="199"/>
      <c r="H23" s="199"/>
      <c r="I23" s="200"/>
      <c r="J23" s="200"/>
      <c r="K23" s="200"/>
      <c r="L23" s="380"/>
      <c r="M23" s="380"/>
      <c r="N23" s="380"/>
      <c r="O23" s="199"/>
      <c r="P23" s="384"/>
      <c r="Q23" s="199"/>
      <c r="R23" s="170"/>
      <c r="S23" s="199"/>
      <c r="T23" s="199"/>
      <c r="U23" s="199"/>
      <c r="V23" s="199"/>
      <c r="W23" s="199"/>
      <c r="X23" s="199"/>
      <c r="Y23" s="199"/>
      <c r="Z23" s="199"/>
      <c r="AA23" s="199"/>
      <c r="AB23" s="199"/>
      <c r="AC23" s="199"/>
      <c r="AD23" s="199"/>
      <c r="AE23" s="199"/>
      <c r="AF23" s="199"/>
      <c r="AG23" s="201"/>
    </row>
    <row r="24" spans="1:33" x14ac:dyDescent="0.2">
      <c r="D24" s="30"/>
      <c r="F24" s="155"/>
      <c r="G24" s="155"/>
      <c r="H24" s="155"/>
      <c r="Q24" s="23"/>
    </row>
    <row r="25" spans="1:33" ht="15.75" thickBot="1" x14ac:dyDescent="0.25">
      <c r="F25" s="30"/>
      <c r="G25" s="30"/>
      <c r="H25" s="30"/>
      <c r="J25" s="30"/>
      <c r="K25" s="23"/>
      <c r="Q25" s="23"/>
    </row>
    <row r="26" spans="1:33" x14ac:dyDescent="0.2">
      <c r="A26" s="214"/>
      <c r="B26" s="158"/>
      <c r="C26" s="158"/>
      <c r="D26" s="158"/>
      <c r="E26" s="158"/>
      <c r="F26" s="159"/>
      <c r="J26" s="30"/>
      <c r="K26" s="23"/>
      <c r="P26" s="361"/>
      <c r="Q26" s="23"/>
    </row>
    <row r="27" spans="1:33" ht="18.75" x14ac:dyDescent="0.3">
      <c r="A27" s="468" t="s">
        <v>190</v>
      </c>
      <c r="B27" s="469"/>
      <c r="C27" s="469"/>
      <c r="D27" s="469"/>
      <c r="E27" s="469"/>
      <c r="F27" s="470"/>
      <c r="G27" s="189"/>
      <c r="H27" s="189"/>
      <c r="I27" s="189"/>
      <c r="J27" s="31"/>
      <c r="P27" s="346"/>
      <c r="Q27" s="23"/>
    </row>
    <row r="28" spans="1:33" ht="18.75" x14ac:dyDescent="0.3">
      <c r="A28" s="468" t="s">
        <v>168</v>
      </c>
      <c r="B28" s="469"/>
      <c r="C28" s="469"/>
      <c r="D28" s="469"/>
      <c r="E28" s="469"/>
      <c r="F28" s="470"/>
      <c r="G28" s="189"/>
      <c r="H28" s="189"/>
      <c r="I28" s="189"/>
      <c r="J28" s="31"/>
      <c r="P28" s="346"/>
    </row>
    <row r="29" spans="1:33" ht="18.75" x14ac:dyDescent="0.3">
      <c r="A29" s="468" t="str">
        <f>A11</f>
        <v>As of and for the Year Ended June 30, 2023</v>
      </c>
      <c r="B29" s="469"/>
      <c r="C29" s="469"/>
      <c r="D29" s="469"/>
      <c r="E29" s="469"/>
      <c r="F29" s="470"/>
      <c r="G29" s="189"/>
      <c r="H29" s="189"/>
      <c r="I29" s="189"/>
    </row>
    <row r="30" spans="1:33" x14ac:dyDescent="0.2">
      <c r="A30" s="176"/>
      <c r="E30" s="160"/>
      <c r="F30" s="160"/>
    </row>
    <row r="31" spans="1:33" ht="66" thickBot="1" x14ac:dyDescent="0.35">
      <c r="A31" s="180" t="s">
        <v>169</v>
      </c>
      <c r="B31" s="202" t="s">
        <v>432</v>
      </c>
      <c r="C31" s="188"/>
      <c r="E31" s="160"/>
      <c r="F31" s="348" t="s">
        <v>191</v>
      </c>
      <c r="G31" s="187"/>
      <c r="H31" s="187"/>
    </row>
    <row r="32" spans="1:33" x14ac:dyDescent="0.2">
      <c r="A32" s="176"/>
      <c r="E32" s="160"/>
      <c r="F32" s="160"/>
      <c r="R32" s="24"/>
      <c r="T32" s="346"/>
      <c r="V32" s="346"/>
    </row>
    <row r="33" spans="1:22" ht="15.75" x14ac:dyDescent="0.25">
      <c r="A33" s="191" t="str">
        <f>A16</f>
        <v>(Insert Name of LEA)</v>
      </c>
      <c r="B33" s="104">
        <v>0</v>
      </c>
      <c r="C33" s="283"/>
      <c r="E33" s="288"/>
      <c r="F33" s="349">
        <v>0</v>
      </c>
      <c r="G33" s="416"/>
      <c r="H33" s="416"/>
      <c r="I33" s="333"/>
      <c r="R33" s="24"/>
      <c r="T33" s="346"/>
      <c r="V33" s="346"/>
    </row>
    <row r="34" spans="1:22" ht="18.75" x14ac:dyDescent="0.3">
      <c r="A34" s="192"/>
      <c r="B34" s="285"/>
      <c r="E34" s="160"/>
      <c r="F34" s="429"/>
      <c r="G34" s="417"/>
      <c r="H34" s="417"/>
      <c r="R34" s="24"/>
      <c r="T34" s="346"/>
      <c r="V34" s="346"/>
    </row>
    <row r="35" spans="1:22" ht="15.75" x14ac:dyDescent="0.25">
      <c r="A35" s="191" t="s">
        <v>188</v>
      </c>
      <c r="B35" s="336">
        <v>101255002</v>
      </c>
      <c r="C35" s="283"/>
      <c r="E35" s="288"/>
      <c r="F35" s="412">
        <v>0.24617580999999999</v>
      </c>
      <c r="G35" s="413"/>
      <c r="H35" s="413"/>
      <c r="I35" s="333"/>
      <c r="L35" s="365"/>
      <c r="M35" s="365"/>
      <c r="N35" s="365"/>
      <c r="P35" s="361"/>
      <c r="R35" s="365"/>
      <c r="T35" s="361"/>
      <c r="V35" s="361"/>
    </row>
    <row r="36" spans="1:22" ht="15.75" x14ac:dyDescent="0.25">
      <c r="A36" s="191" t="s">
        <v>189</v>
      </c>
      <c r="B36" s="336">
        <v>271978964</v>
      </c>
      <c r="C36" s="283"/>
      <c r="E36" s="288"/>
      <c r="F36" s="412">
        <v>0.67128573999999996</v>
      </c>
      <c r="G36" s="413"/>
      <c r="H36" s="413"/>
      <c r="I36" s="333"/>
      <c r="L36" s="365"/>
      <c r="M36" s="365"/>
      <c r="N36" s="365"/>
      <c r="P36" s="361"/>
      <c r="R36" s="365"/>
      <c r="T36" s="361"/>
      <c r="V36" s="361"/>
    </row>
    <row r="37" spans="1:22" ht="15.75" x14ac:dyDescent="0.25">
      <c r="A37" s="191" t="s">
        <v>475</v>
      </c>
      <c r="B37" s="336">
        <f>'CY Calculations'!C24</f>
        <v>3968256</v>
      </c>
      <c r="C37" s="283"/>
      <c r="E37" s="288"/>
      <c r="F37" s="412">
        <f>'CY Calculations'!D24</f>
        <v>1.0000699999999998E-2</v>
      </c>
      <c r="G37" s="413"/>
      <c r="H37" s="413"/>
      <c r="I37" s="333"/>
      <c r="J37" s="341"/>
      <c r="K37" s="341"/>
      <c r="L37" s="365"/>
      <c r="M37" s="365"/>
      <c r="N37" s="365"/>
      <c r="P37" s="361"/>
      <c r="R37" s="365"/>
      <c r="T37" s="361"/>
      <c r="V37" s="361"/>
    </row>
    <row r="38" spans="1:22" ht="16.5" thickBot="1" x14ac:dyDescent="0.3">
      <c r="A38" s="198" t="s">
        <v>175</v>
      </c>
      <c r="B38" s="445">
        <v>407182995</v>
      </c>
      <c r="C38" s="446"/>
      <c r="D38" s="98"/>
      <c r="E38" s="447"/>
      <c r="F38" s="414">
        <v>1</v>
      </c>
      <c r="G38" s="415"/>
      <c r="H38" s="415"/>
      <c r="I38" s="333"/>
      <c r="L38" s="365"/>
      <c r="M38" s="365"/>
      <c r="N38" s="365"/>
      <c r="P38" s="361"/>
      <c r="R38" s="365"/>
      <c r="T38" s="361"/>
      <c r="V38" s="361"/>
    </row>
    <row r="39" spans="1:22" ht="15.75" thickBot="1" x14ac:dyDescent="0.25">
      <c r="A39" s="176"/>
      <c r="E39" s="160"/>
      <c r="L39" s="365"/>
      <c r="M39" s="365"/>
      <c r="N39" s="365"/>
      <c r="P39" s="361"/>
      <c r="R39" s="365"/>
      <c r="T39" s="346"/>
      <c r="V39" s="346"/>
    </row>
    <row r="40" spans="1:22" x14ac:dyDescent="0.2">
      <c r="A40" s="214"/>
      <c r="B40" s="158"/>
      <c r="C40" s="158"/>
      <c r="D40" s="158"/>
      <c r="E40" s="158"/>
      <c r="F40" s="159"/>
      <c r="L40" s="365"/>
      <c r="M40" s="365"/>
      <c r="N40" s="365"/>
      <c r="P40" s="361"/>
      <c r="R40" s="365"/>
      <c r="T40" s="346"/>
      <c r="V40" s="346"/>
    </row>
    <row r="41" spans="1:22" ht="18.75" x14ac:dyDescent="0.3">
      <c r="A41" s="468" t="s">
        <v>194</v>
      </c>
      <c r="B41" s="469"/>
      <c r="C41" s="469"/>
      <c r="D41" s="469"/>
      <c r="E41" s="469"/>
      <c r="F41" s="470"/>
      <c r="G41" s="189"/>
      <c r="H41" s="189"/>
      <c r="I41" s="189"/>
      <c r="L41" s="365"/>
      <c r="M41" s="365"/>
      <c r="N41" s="365"/>
      <c r="P41" s="361"/>
      <c r="R41" s="365"/>
      <c r="T41" s="346"/>
      <c r="V41" s="346"/>
    </row>
    <row r="42" spans="1:22" ht="18.75" x14ac:dyDescent="0.3">
      <c r="A42" s="468" t="s">
        <v>168</v>
      </c>
      <c r="B42" s="469"/>
      <c r="C42" s="469"/>
      <c r="D42" s="469"/>
      <c r="E42" s="469"/>
      <c r="F42" s="470"/>
      <c r="G42" s="189"/>
      <c r="H42" s="189"/>
      <c r="I42" s="189"/>
      <c r="L42" s="365"/>
      <c r="M42" s="365"/>
      <c r="N42" s="365"/>
      <c r="P42" s="361"/>
      <c r="R42" s="365"/>
      <c r="T42" s="346"/>
      <c r="V42" s="346"/>
    </row>
    <row r="43" spans="1:22" ht="18.75" x14ac:dyDescent="0.3">
      <c r="A43" s="468" t="str">
        <f>A29</f>
        <v>As of and for the Year Ended June 30, 2023</v>
      </c>
      <c r="B43" s="469"/>
      <c r="C43" s="469"/>
      <c r="D43" s="469"/>
      <c r="E43" s="469"/>
      <c r="F43" s="470"/>
      <c r="G43" s="189"/>
      <c r="H43" s="189"/>
      <c r="I43" s="189"/>
      <c r="L43" s="365"/>
      <c r="M43" s="365"/>
      <c r="N43" s="365"/>
      <c r="P43" s="361"/>
      <c r="R43" s="365"/>
      <c r="T43" s="346"/>
      <c r="V43" s="346"/>
    </row>
    <row r="44" spans="1:22" x14ac:dyDescent="0.2">
      <c r="A44" s="176"/>
      <c r="E44" s="160"/>
      <c r="F44" s="160"/>
      <c r="L44" s="365"/>
      <c r="M44" s="365"/>
      <c r="N44" s="365"/>
      <c r="P44" s="361"/>
      <c r="R44" s="365"/>
      <c r="T44" s="346"/>
      <c r="V44" s="346"/>
    </row>
    <row r="45" spans="1:22" ht="40.5" thickBot="1" x14ac:dyDescent="0.35">
      <c r="A45" s="180"/>
      <c r="B45" s="187"/>
      <c r="C45" s="188"/>
      <c r="E45" s="160"/>
      <c r="F45" s="348" t="s">
        <v>191</v>
      </c>
      <c r="G45" s="187"/>
      <c r="H45" s="187"/>
      <c r="L45" s="365"/>
      <c r="M45" s="365"/>
      <c r="N45" s="365"/>
      <c r="P45" s="361"/>
      <c r="R45" s="365"/>
      <c r="T45" s="346"/>
      <c r="V45" s="346"/>
    </row>
    <row r="46" spans="1:22" x14ac:dyDescent="0.2">
      <c r="A46" s="176"/>
      <c r="E46" s="160"/>
      <c r="F46" s="160"/>
      <c r="L46" s="365"/>
      <c r="M46" s="365"/>
      <c r="N46" s="365"/>
      <c r="P46" s="361"/>
      <c r="R46" s="365"/>
      <c r="T46" s="346"/>
      <c r="V46" s="346"/>
    </row>
    <row r="47" spans="1:22" ht="15.75" x14ac:dyDescent="0.25">
      <c r="A47" s="466" t="s">
        <v>411</v>
      </c>
      <c r="B47" s="467"/>
      <c r="E47" s="288"/>
      <c r="F47" s="448">
        <v>7.2499999999999995E-2</v>
      </c>
      <c r="G47" s="418"/>
      <c r="H47" s="418"/>
      <c r="I47" s="333"/>
      <c r="L47" s="365"/>
      <c r="M47" s="365"/>
      <c r="N47" s="365"/>
      <c r="P47" s="361"/>
      <c r="R47" s="365"/>
      <c r="T47" s="361"/>
      <c r="V47" s="361"/>
    </row>
    <row r="48" spans="1:22" ht="30" customHeight="1" x14ac:dyDescent="0.25">
      <c r="A48" s="466" t="s">
        <v>412</v>
      </c>
      <c r="B48" s="467"/>
      <c r="E48" s="288"/>
      <c r="F48" s="449">
        <v>5.04</v>
      </c>
      <c r="G48" s="419"/>
      <c r="H48" s="419"/>
      <c r="I48" s="333"/>
      <c r="L48" s="365"/>
      <c r="M48" s="365"/>
      <c r="N48" s="365"/>
      <c r="P48" s="361"/>
      <c r="R48" s="365"/>
      <c r="T48" s="361"/>
      <c r="V48" s="361"/>
    </row>
    <row r="49" spans="1:22" ht="30" customHeight="1" x14ac:dyDescent="0.25">
      <c r="A49" s="466" t="s">
        <v>413</v>
      </c>
      <c r="B49" s="467"/>
      <c r="E49" s="288"/>
      <c r="F49" s="450">
        <v>3515950000</v>
      </c>
      <c r="G49" s="336"/>
      <c r="H49" s="336"/>
      <c r="I49" s="333"/>
      <c r="L49" s="365"/>
      <c r="M49" s="365"/>
      <c r="N49" s="365"/>
      <c r="P49" s="361"/>
      <c r="R49" s="365"/>
      <c r="T49" s="361"/>
      <c r="V49" s="361"/>
    </row>
    <row r="50" spans="1:22" ht="30" customHeight="1" x14ac:dyDescent="0.25">
      <c r="A50" s="466" t="s">
        <v>414</v>
      </c>
      <c r="B50" s="467"/>
      <c r="E50" s="288"/>
      <c r="F50" s="450">
        <v>1248400000</v>
      </c>
      <c r="G50" s="336"/>
      <c r="H50" s="336"/>
      <c r="I50" s="333"/>
      <c r="L50" s="365"/>
      <c r="M50" s="365"/>
      <c r="N50" s="365"/>
      <c r="P50" s="361"/>
      <c r="R50" s="365"/>
      <c r="T50" s="361"/>
      <c r="V50" s="361"/>
    </row>
    <row r="51" spans="1:22" ht="15.75" thickBot="1" x14ac:dyDescent="0.25">
      <c r="A51" s="205"/>
      <c r="B51" s="98"/>
      <c r="C51" s="98"/>
      <c r="D51" s="98"/>
      <c r="E51" s="161"/>
      <c r="F51" s="161"/>
      <c r="L51" s="365"/>
      <c r="M51" s="365"/>
      <c r="N51" s="365"/>
      <c r="P51" s="361"/>
      <c r="R51" s="365"/>
      <c r="T51" s="346"/>
      <c r="V51" s="346"/>
    </row>
    <row r="52" spans="1:22" x14ac:dyDescent="0.2">
      <c r="L52" s="365"/>
      <c r="M52" s="365"/>
      <c r="N52" s="365"/>
      <c r="P52" s="361"/>
      <c r="R52" s="365"/>
      <c r="T52" s="346"/>
      <c r="V52" s="346"/>
    </row>
    <row r="53" spans="1:22" x14ac:dyDescent="0.2">
      <c r="L53" s="365"/>
      <c r="M53" s="365"/>
      <c r="N53" s="365"/>
      <c r="P53" s="361"/>
      <c r="R53" s="365"/>
      <c r="T53" s="346"/>
      <c r="V53" s="346"/>
    </row>
    <row r="54" spans="1:22" x14ac:dyDescent="0.2">
      <c r="L54" s="365"/>
      <c r="M54" s="365"/>
      <c r="N54" s="365"/>
      <c r="P54" s="361"/>
      <c r="R54" s="365"/>
      <c r="T54" s="346"/>
      <c r="V54" s="346"/>
    </row>
    <row r="55" spans="1:22" x14ac:dyDescent="0.2">
      <c r="L55" s="365"/>
      <c r="M55" s="365"/>
      <c r="N55" s="365"/>
      <c r="P55" s="361"/>
      <c r="R55" s="365"/>
      <c r="T55" s="346"/>
      <c r="V55" s="346"/>
    </row>
    <row r="56" spans="1:22" x14ac:dyDescent="0.2">
      <c r="L56" s="365"/>
      <c r="M56" s="365"/>
      <c r="N56" s="365"/>
      <c r="P56" s="361"/>
      <c r="R56" s="24"/>
      <c r="T56" s="346"/>
      <c r="V56" s="347"/>
    </row>
    <row r="57" spans="1:22" x14ac:dyDescent="0.2">
      <c r="L57" s="365"/>
      <c r="M57" s="365"/>
      <c r="N57" s="365"/>
      <c r="P57" s="361"/>
      <c r="R57" s="24"/>
    </row>
    <row r="58" spans="1:22" x14ac:dyDescent="0.2">
      <c r="L58" s="365"/>
      <c r="M58" s="365"/>
      <c r="N58" s="365"/>
      <c r="P58" s="361"/>
      <c r="R58" s="24"/>
    </row>
    <row r="59" spans="1:22" x14ac:dyDescent="0.2">
      <c r="L59" s="365"/>
      <c r="M59" s="365"/>
      <c r="N59" s="365"/>
      <c r="P59" s="361"/>
    </row>
    <row r="60" spans="1:22" x14ac:dyDescent="0.2">
      <c r="L60" s="365"/>
      <c r="M60" s="365"/>
      <c r="N60" s="365"/>
      <c r="P60" s="361"/>
    </row>
    <row r="61" spans="1:22" x14ac:dyDescent="0.2">
      <c r="L61" s="365"/>
      <c r="M61" s="365"/>
      <c r="N61" s="365"/>
      <c r="P61" s="361"/>
    </row>
    <row r="62" spans="1:22" x14ac:dyDescent="0.2">
      <c r="L62" s="365"/>
      <c r="M62" s="365"/>
      <c r="N62" s="365"/>
      <c r="P62" s="361"/>
    </row>
    <row r="63" spans="1:22" x14ac:dyDescent="0.2">
      <c r="L63" s="365"/>
      <c r="M63" s="365"/>
      <c r="N63" s="365"/>
      <c r="P63" s="361"/>
    </row>
    <row r="64" spans="1:22" x14ac:dyDescent="0.2">
      <c r="L64" s="365"/>
      <c r="M64" s="365"/>
      <c r="N64" s="365"/>
      <c r="P64" s="361"/>
    </row>
    <row r="65" spans="12:16" x14ac:dyDescent="0.2">
      <c r="L65" s="365"/>
      <c r="M65" s="365"/>
      <c r="N65" s="365"/>
      <c r="P65" s="361"/>
    </row>
    <row r="66" spans="12:16" x14ac:dyDescent="0.2">
      <c r="L66" s="365"/>
      <c r="M66" s="365"/>
      <c r="N66" s="365"/>
      <c r="P66" s="361"/>
    </row>
    <row r="67" spans="12:16" x14ac:dyDescent="0.2">
      <c r="L67" s="365"/>
      <c r="M67" s="365"/>
      <c r="N67" s="365"/>
      <c r="P67" s="361"/>
    </row>
    <row r="68" spans="12:16" x14ac:dyDescent="0.2">
      <c r="L68" s="365"/>
      <c r="M68" s="365"/>
      <c r="N68" s="365"/>
      <c r="P68" s="361"/>
    </row>
    <row r="69" spans="12:16" x14ac:dyDescent="0.2">
      <c r="L69" s="365"/>
      <c r="M69" s="365"/>
      <c r="N69" s="365"/>
      <c r="P69" s="361"/>
    </row>
    <row r="70" spans="12:16" x14ac:dyDescent="0.2">
      <c r="L70" s="365"/>
      <c r="M70" s="365"/>
      <c r="N70" s="365"/>
      <c r="P70" s="361"/>
    </row>
    <row r="71" spans="12:16" x14ac:dyDescent="0.2">
      <c r="L71" s="365"/>
      <c r="M71" s="365"/>
      <c r="N71" s="365"/>
      <c r="P71" s="361"/>
    </row>
    <row r="72" spans="12:16" x14ac:dyDescent="0.2">
      <c r="L72" s="365"/>
      <c r="M72" s="365"/>
      <c r="N72" s="365"/>
      <c r="P72" s="361"/>
    </row>
    <row r="73" spans="12:16" x14ac:dyDescent="0.2">
      <c r="L73" s="365"/>
      <c r="M73" s="365"/>
      <c r="N73" s="365"/>
      <c r="P73" s="361"/>
    </row>
    <row r="74" spans="12:16" x14ac:dyDescent="0.2">
      <c r="L74" s="365"/>
      <c r="M74" s="365"/>
      <c r="N74" s="365"/>
      <c r="P74" s="361"/>
    </row>
    <row r="75" spans="12:16" x14ac:dyDescent="0.2">
      <c r="L75" s="365"/>
      <c r="M75" s="365"/>
      <c r="N75" s="365"/>
      <c r="P75" s="361"/>
    </row>
    <row r="76" spans="12:16" x14ac:dyDescent="0.2">
      <c r="L76" s="365"/>
      <c r="M76" s="365"/>
      <c r="N76" s="365"/>
      <c r="P76" s="361"/>
    </row>
    <row r="77" spans="12:16" x14ac:dyDescent="0.2">
      <c r="L77" s="365"/>
      <c r="M77" s="365"/>
      <c r="N77" s="365"/>
      <c r="P77" s="361"/>
    </row>
    <row r="78" spans="12:16" x14ac:dyDescent="0.2">
      <c r="L78" s="365"/>
      <c r="M78" s="365"/>
      <c r="N78" s="365"/>
      <c r="P78" s="361"/>
    </row>
    <row r="79" spans="12:16" x14ac:dyDescent="0.2">
      <c r="L79" s="365"/>
      <c r="M79" s="365"/>
      <c r="N79" s="365"/>
      <c r="P79" s="361"/>
    </row>
    <row r="80" spans="12:16" x14ac:dyDescent="0.2">
      <c r="L80" s="365"/>
      <c r="M80" s="365"/>
      <c r="N80" s="365"/>
      <c r="P80" s="361"/>
    </row>
    <row r="81" spans="12:16" x14ac:dyDescent="0.2">
      <c r="L81" s="365"/>
      <c r="M81" s="365"/>
      <c r="N81" s="365"/>
      <c r="P81" s="361"/>
    </row>
    <row r="82" spans="12:16" x14ac:dyDescent="0.2">
      <c r="L82" s="365"/>
      <c r="M82" s="365"/>
      <c r="N82" s="365"/>
      <c r="P82" s="361"/>
    </row>
    <row r="83" spans="12:16" x14ac:dyDescent="0.2">
      <c r="L83" s="365"/>
      <c r="M83" s="365"/>
      <c r="N83" s="365"/>
      <c r="P83" s="361"/>
    </row>
    <row r="84" spans="12:16" x14ac:dyDescent="0.2">
      <c r="L84" s="365"/>
      <c r="M84" s="365"/>
      <c r="N84" s="365"/>
      <c r="P84" s="361"/>
    </row>
    <row r="85" spans="12:16" x14ac:dyDescent="0.2">
      <c r="L85" s="365"/>
      <c r="M85" s="365"/>
      <c r="N85" s="365"/>
      <c r="P85" s="361"/>
    </row>
    <row r="86" spans="12:16" x14ac:dyDescent="0.2">
      <c r="L86" s="365"/>
      <c r="M86" s="365"/>
      <c r="N86" s="365"/>
      <c r="P86" s="361"/>
    </row>
    <row r="87" spans="12:16" x14ac:dyDescent="0.2">
      <c r="L87" s="365"/>
      <c r="M87" s="365"/>
      <c r="N87" s="365"/>
      <c r="P87" s="361"/>
    </row>
    <row r="88" spans="12:16" x14ac:dyDescent="0.2">
      <c r="L88" s="365"/>
      <c r="M88" s="365"/>
      <c r="N88" s="365"/>
      <c r="P88" s="361"/>
    </row>
    <row r="89" spans="12:16" x14ac:dyDescent="0.2">
      <c r="L89" s="365"/>
      <c r="M89" s="365"/>
      <c r="N89" s="365"/>
      <c r="P89" s="361"/>
    </row>
    <row r="90" spans="12:16" x14ac:dyDescent="0.2">
      <c r="L90" s="365"/>
      <c r="M90" s="365"/>
      <c r="N90" s="365"/>
      <c r="P90" s="361"/>
    </row>
    <row r="91" spans="12:16" x14ac:dyDescent="0.2">
      <c r="L91" s="365"/>
      <c r="M91" s="365"/>
      <c r="N91" s="365"/>
      <c r="P91" s="361"/>
    </row>
    <row r="92" spans="12:16" x14ac:dyDescent="0.2">
      <c r="L92" s="365"/>
      <c r="M92" s="365"/>
      <c r="N92" s="365"/>
      <c r="P92" s="361"/>
    </row>
    <row r="93" spans="12:16" x14ac:dyDescent="0.2">
      <c r="L93" s="365"/>
      <c r="M93" s="365"/>
      <c r="N93" s="365"/>
      <c r="P93" s="361"/>
    </row>
    <row r="94" spans="12:16" x14ac:dyDescent="0.2">
      <c r="L94" s="365"/>
      <c r="M94" s="365"/>
      <c r="N94" s="365"/>
      <c r="P94" s="361"/>
    </row>
    <row r="95" spans="12:16" x14ac:dyDescent="0.2">
      <c r="L95" s="365"/>
      <c r="M95" s="365"/>
      <c r="N95" s="365"/>
      <c r="P95" s="361"/>
    </row>
    <row r="96" spans="12:16" x14ac:dyDescent="0.2">
      <c r="L96" s="365"/>
      <c r="M96" s="365"/>
      <c r="N96" s="365"/>
      <c r="P96" s="361"/>
    </row>
    <row r="97" spans="12:16" x14ac:dyDescent="0.2">
      <c r="L97" s="365"/>
      <c r="M97" s="365"/>
      <c r="N97" s="365"/>
      <c r="P97" s="361"/>
    </row>
    <row r="98" spans="12:16" x14ac:dyDescent="0.2">
      <c r="L98" s="365"/>
      <c r="M98" s="365"/>
      <c r="N98" s="365"/>
      <c r="P98" s="361"/>
    </row>
    <row r="99" spans="12:16" x14ac:dyDescent="0.2">
      <c r="L99" s="365"/>
      <c r="M99" s="365"/>
      <c r="N99" s="365"/>
      <c r="P99" s="361"/>
    </row>
    <row r="100" spans="12:16" x14ac:dyDescent="0.2">
      <c r="L100" s="365"/>
      <c r="M100" s="365"/>
      <c r="N100" s="365"/>
      <c r="P100" s="361"/>
    </row>
    <row r="101" spans="12:16" x14ac:dyDescent="0.2">
      <c r="L101" s="365"/>
      <c r="M101" s="365"/>
      <c r="N101" s="365"/>
      <c r="P101" s="361"/>
    </row>
    <row r="102" spans="12:16" x14ac:dyDescent="0.2">
      <c r="L102" s="365"/>
      <c r="M102" s="365"/>
      <c r="N102" s="365"/>
      <c r="P102" s="361"/>
    </row>
    <row r="103" spans="12:16" x14ac:dyDescent="0.2">
      <c r="L103" s="365"/>
      <c r="M103" s="365"/>
      <c r="N103" s="365"/>
      <c r="P103" s="361"/>
    </row>
    <row r="104" spans="12:16" x14ac:dyDescent="0.2">
      <c r="L104" s="365"/>
      <c r="M104" s="365"/>
      <c r="N104" s="365"/>
      <c r="P104" s="361"/>
    </row>
    <row r="105" spans="12:16" x14ac:dyDescent="0.2">
      <c r="L105" s="365"/>
      <c r="M105" s="365"/>
      <c r="N105" s="365"/>
      <c r="P105" s="361"/>
    </row>
    <row r="106" spans="12:16" x14ac:dyDescent="0.2">
      <c r="L106" s="365"/>
      <c r="M106" s="365"/>
      <c r="N106" s="365"/>
      <c r="P106" s="361"/>
    </row>
    <row r="107" spans="12:16" x14ac:dyDescent="0.2">
      <c r="L107" s="365"/>
      <c r="M107" s="365"/>
      <c r="N107" s="365"/>
      <c r="P107" s="361"/>
    </row>
    <row r="108" spans="12:16" x14ac:dyDescent="0.2">
      <c r="L108" s="365"/>
      <c r="M108" s="365"/>
      <c r="N108" s="365"/>
      <c r="P108" s="361"/>
    </row>
    <row r="109" spans="12:16" x14ac:dyDescent="0.2">
      <c r="L109" s="365"/>
      <c r="M109" s="365"/>
      <c r="N109" s="365"/>
      <c r="P109" s="361"/>
    </row>
    <row r="110" spans="12:16" x14ac:dyDescent="0.2">
      <c r="L110" s="365"/>
      <c r="M110" s="365"/>
      <c r="N110" s="365"/>
      <c r="P110" s="361"/>
    </row>
    <row r="111" spans="12:16" x14ac:dyDescent="0.2">
      <c r="L111" s="365"/>
      <c r="M111" s="365"/>
      <c r="N111" s="365"/>
      <c r="P111" s="361"/>
    </row>
    <row r="112" spans="12:16" x14ac:dyDescent="0.2">
      <c r="L112" s="365"/>
      <c r="M112" s="365"/>
      <c r="N112" s="365"/>
      <c r="P112" s="361"/>
    </row>
    <row r="113" spans="12:16" x14ac:dyDescent="0.2">
      <c r="L113" s="365"/>
      <c r="M113" s="365"/>
      <c r="N113" s="365"/>
      <c r="P113" s="361"/>
    </row>
    <row r="114" spans="12:16" x14ac:dyDescent="0.2">
      <c r="L114" s="365"/>
      <c r="M114" s="365"/>
      <c r="N114" s="365"/>
      <c r="P114" s="361"/>
    </row>
    <row r="115" spans="12:16" x14ac:dyDescent="0.2">
      <c r="L115" s="365"/>
      <c r="M115" s="365"/>
      <c r="N115" s="365"/>
      <c r="P115" s="361"/>
    </row>
    <row r="116" spans="12:16" x14ac:dyDescent="0.2">
      <c r="L116" s="365"/>
      <c r="M116" s="365"/>
      <c r="N116" s="365"/>
      <c r="P116" s="361"/>
    </row>
    <row r="117" spans="12:16" x14ac:dyDescent="0.2">
      <c r="L117" s="365"/>
      <c r="M117" s="365"/>
      <c r="N117" s="365"/>
      <c r="P117" s="361"/>
    </row>
    <row r="118" spans="12:16" x14ac:dyDescent="0.2">
      <c r="L118" s="365"/>
      <c r="M118" s="365"/>
      <c r="N118" s="365"/>
      <c r="P118" s="361"/>
    </row>
    <row r="119" spans="12:16" x14ac:dyDescent="0.2">
      <c r="L119" s="365"/>
      <c r="M119" s="365"/>
      <c r="N119" s="365"/>
      <c r="P119" s="361"/>
    </row>
    <row r="120" spans="12:16" x14ac:dyDescent="0.2">
      <c r="L120" s="365"/>
      <c r="M120" s="365"/>
      <c r="N120" s="365"/>
      <c r="P120" s="385"/>
    </row>
  </sheetData>
  <sheetProtection algorithmName="SHA-512" hashValue="8kHgTMQZTGoxY763h7+ouf9TNK4J4+dfRzaIlL86L6/NEFfKlGfVIOQyDtMi/T9jPIOVwUbxFBZNfRdAiAIbAA==" saltValue="9dPdM42lSiI1n/iqz3bK8g==" spinCount="100000" sheet="1" objects="1" scenarios="1"/>
  <mergeCells count="17">
    <mergeCell ref="A50:B50"/>
    <mergeCell ref="A47:B47"/>
    <mergeCell ref="A48:B48"/>
    <mergeCell ref="A41:F41"/>
    <mergeCell ref="A42:F42"/>
    <mergeCell ref="A43:F43"/>
    <mergeCell ref="D13:P13"/>
    <mergeCell ref="R13:Z13"/>
    <mergeCell ref="AB13:AF13"/>
    <mergeCell ref="A6:V7"/>
    <mergeCell ref="A49:B49"/>
    <mergeCell ref="A27:F27"/>
    <mergeCell ref="A28:F28"/>
    <mergeCell ref="A29:F29"/>
    <mergeCell ref="A9:AG9"/>
    <mergeCell ref="A10:AG10"/>
    <mergeCell ref="A11:AG1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37E1DD-850E-4C63-B872-A0E807CF0F32}">
  <dimension ref="C2:D25"/>
  <sheetViews>
    <sheetView workbookViewId="0">
      <selection activeCell="D24" sqref="D24"/>
    </sheetView>
  </sheetViews>
  <sheetFormatPr defaultRowHeight="15" x14ac:dyDescent="0.2"/>
  <cols>
    <col min="3" max="3" width="12.77734375" bestFit="1" customWidth="1"/>
    <col min="4" max="4" width="12.21875" customWidth="1"/>
  </cols>
  <sheetData>
    <row r="2" spans="3:4" ht="45" x14ac:dyDescent="0.25">
      <c r="C2" s="406" t="s">
        <v>476</v>
      </c>
      <c r="D2" s="406" t="s">
        <v>477</v>
      </c>
    </row>
    <row r="3" spans="3:4" ht="15.75" x14ac:dyDescent="0.25">
      <c r="C3" s="431">
        <v>8443</v>
      </c>
      <c r="D3" s="432">
        <v>2.0530000000000002E-5</v>
      </c>
    </row>
    <row r="4" spans="3:4" ht="15.75" x14ac:dyDescent="0.25">
      <c r="C4" s="431">
        <v>36661</v>
      </c>
      <c r="D4" s="432">
        <v>8.9129999999999995E-5</v>
      </c>
    </row>
    <row r="5" spans="3:4" ht="15.75" x14ac:dyDescent="0.25">
      <c r="C5" s="431">
        <v>187318</v>
      </c>
      <c r="D5" s="432">
        <v>4.5542E-4</v>
      </c>
    </row>
    <row r="6" spans="3:4" ht="15.75" x14ac:dyDescent="0.25">
      <c r="C6" s="431">
        <v>280973</v>
      </c>
      <c r="D6" s="432">
        <v>6.8311999999999995E-4</v>
      </c>
    </row>
    <row r="7" spans="3:4" ht="15.75" x14ac:dyDescent="0.25">
      <c r="C7" s="431">
        <v>11619</v>
      </c>
      <c r="D7" s="432">
        <v>2.8249999999999999E-5</v>
      </c>
    </row>
    <row r="8" spans="3:4" ht="15.75" x14ac:dyDescent="0.25">
      <c r="C8" s="431">
        <v>2673121</v>
      </c>
      <c r="D8" s="432">
        <v>6.4990200000000003E-3</v>
      </c>
    </row>
    <row r="9" spans="3:4" ht="15.75" x14ac:dyDescent="0.25">
      <c r="C9" s="431">
        <v>440531</v>
      </c>
      <c r="D9" s="432">
        <v>1.0710400000000001E-3</v>
      </c>
    </row>
    <row r="10" spans="3:4" ht="15.75" x14ac:dyDescent="0.25">
      <c r="C10" s="431">
        <v>49120</v>
      </c>
      <c r="D10" s="432">
        <v>1.1942000000000001E-4</v>
      </c>
    </row>
    <row r="11" spans="3:4" ht="15.75" x14ac:dyDescent="0.25">
      <c r="C11" s="431">
        <v>45662</v>
      </c>
      <c r="D11" s="432">
        <v>1.1102E-4</v>
      </c>
    </row>
    <row r="12" spans="3:4" ht="15.75" x14ac:dyDescent="0.25">
      <c r="C12" s="431">
        <v>8453</v>
      </c>
      <c r="D12" s="432">
        <v>2.0550000000000001E-5</v>
      </c>
    </row>
    <row r="13" spans="3:4" ht="15.75" x14ac:dyDescent="0.25">
      <c r="C13" s="431">
        <v>33639</v>
      </c>
      <c r="D13" s="432">
        <v>8.1780000000000006E-5</v>
      </c>
    </row>
    <row r="14" spans="3:4" ht="15.75" x14ac:dyDescent="0.25">
      <c r="C14" s="431">
        <v>27263</v>
      </c>
      <c r="D14" s="432">
        <v>6.6279999999999996E-5</v>
      </c>
    </row>
    <row r="15" spans="3:4" ht="15.75" x14ac:dyDescent="0.25">
      <c r="C15" s="431">
        <v>24670</v>
      </c>
      <c r="D15" s="432">
        <v>5.9979999999999998E-5</v>
      </c>
    </row>
    <row r="16" spans="3:4" ht="15.75" x14ac:dyDescent="0.25">
      <c r="C16" s="431">
        <v>24436</v>
      </c>
      <c r="D16" s="432">
        <v>5.9410000000000002E-5</v>
      </c>
    </row>
    <row r="17" spans="3:4" ht="15.75" x14ac:dyDescent="0.25">
      <c r="C17" s="431">
        <v>1458</v>
      </c>
      <c r="D17" s="432">
        <v>3.54E-6</v>
      </c>
    </row>
    <row r="18" spans="3:4" ht="15.75" x14ac:dyDescent="0.25">
      <c r="C18" s="431">
        <v>49157</v>
      </c>
      <c r="D18" s="432">
        <v>1.1951E-4</v>
      </c>
    </row>
    <row r="19" spans="3:4" ht="15.75" x14ac:dyDescent="0.25">
      <c r="C19" s="431">
        <v>3092</v>
      </c>
      <c r="D19" s="432">
        <v>7.52E-6</v>
      </c>
    </row>
    <row r="20" spans="3:4" ht="15.75" x14ac:dyDescent="0.25">
      <c r="C20" s="431">
        <v>14410</v>
      </c>
      <c r="D20" s="432">
        <v>3.5030000000000002E-5</v>
      </c>
    </row>
    <row r="21" spans="3:4" ht="15.75" x14ac:dyDescent="0.25">
      <c r="C21" s="431">
        <v>23181</v>
      </c>
      <c r="D21" s="432">
        <v>5.6360000000000002E-5</v>
      </c>
    </row>
    <row r="22" spans="3:4" ht="15.75" x14ac:dyDescent="0.25">
      <c r="C22" s="431">
        <v>16129</v>
      </c>
      <c r="D22" s="432">
        <v>3.9209999999999999E-4</v>
      </c>
    </row>
    <row r="23" spans="3:4" ht="15.75" x14ac:dyDescent="0.25">
      <c r="C23" s="433">
        <v>8920</v>
      </c>
      <c r="D23" s="435">
        <v>2.1690000000000001E-5</v>
      </c>
    </row>
    <row r="24" spans="3:4" ht="15.75" x14ac:dyDescent="0.25">
      <c r="C24" s="434">
        <f>SUM(C3:C23)</f>
        <v>3968256</v>
      </c>
      <c r="D24" s="432">
        <f>SUM(D3:D23)</f>
        <v>1.0000699999999998E-2</v>
      </c>
    </row>
    <row r="25" spans="3:4" ht="15.75" x14ac:dyDescent="0.25">
      <c r="C25" s="407"/>
      <c r="D25" s="408"/>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7030A0"/>
  </sheetPr>
  <dimension ref="A1:AE38"/>
  <sheetViews>
    <sheetView topLeftCell="A13" workbookViewId="0">
      <selection activeCell="E33" sqref="E33"/>
    </sheetView>
  </sheetViews>
  <sheetFormatPr defaultColWidth="8.88671875" defaultRowHeight="15" x14ac:dyDescent="0.2"/>
  <cols>
    <col min="1" max="1" width="35.77734375" customWidth="1"/>
    <col min="2" max="2" width="12.109375" bestFit="1" customWidth="1"/>
    <col min="3" max="3" width="1.33203125" customWidth="1"/>
    <col min="4" max="4" width="12" customWidth="1"/>
    <col min="5" max="5" width="1.88671875" customWidth="1"/>
    <col min="6" max="6" width="12" customWidth="1"/>
    <col min="7" max="7" width="1.33203125" customWidth="1"/>
    <col min="8" max="8" width="12" customWidth="1"/>
    <col min="9" max="9" width="1.77734375" customWidth="1"/>
    <col min="10" max="10" width="12" customWidth="1"/>
    <col min="11" max="11" width="2.21875" customWidth="1"/>
    <col min="12" max="12" width="12" hidden="1" customWidth="1"/>
    <col min="13" max="13" width="1.33203125" hidden="1" customWidth="1"/>
    <col min="14" max="14" width="12" customWidth="1"/>
    <col min="15" max="15" width="2" customWidth="1"/>
    <col min="16" max="16" width="11" customWidth="1"/>
    <col min="17" max="17" width="1.33203125" customWidth="1"/>
    <col min="18" max="18" width="12" hidden="1" customWidth="1"/>
    <col min="19" max="19" width="1.33203125" hidden="1" customWidth="1"/>
    <col min="20" max="20" width="12" customWidth="1"/>
    <col min="21" max="21" width="1" customWidth="1"/>
    <col min="22" max="22" width="11" hidden="1" customWidth="1"/>
    <col min="23" max="23" width="1.33203125" hidden="1" customWidth="1"/>
    <col min="24" max="24" width="12" customWidth="1"/>
    <col min="25" max="25" width="2" customWidth="1"/>
    <col min="26" max="26" width="12" customWidth="1"/>
    <col min="27" max="27" width="1.33203125" customWidth="1"/>
    <col min="28" max="28" width="12" customWidth="1"/>
    <col min="29" max="29" width="1.33203125" customWidth="1"/>
    <col min="30" max="30" width="12" customWidth="1"/>
    <col min="31" max="31" width="2" customWidth="1"/>
  </cols>
  <sheetData>
    <row r="1" spans="1:31" ht="15.75" x14ac:dyDescent="0.25">
      <c r="A1" s="27" t="str">
        <f>'GASB 68 Sch Input CY'!A1</f>
        <v>WARNING: Sheet is protected to prevent unintentional override of formulas.  Password for protected sheet: BOE2024</v>
      </c>
    </row>
    <row r="2" spans="1:31" ht="15.75" x14ac:dyDescent="0.25">
      <c r="A2" s="27"/>
    </row>
    <row r="3" spans="1:31" x14ac:dyDescent="0.2">
      <c r="A3" s="175" t="s">
        <v>192</v>
      </c>
    </row>
    <row r="4" spans="1:31" x14ac:dyDescent="0.2">
      <c r="A4" s="175" t="s">
        <v>193</v>
      </c>
    </row>
    <row r="5" spans="1:31" x14ac:dyDescent="0.2">
      <c r="A5" s="175"/>
    </row>
    <row r="6" spans="1:31" ht="18" customHeight="1" x14ac:dyDescent="0.2">
      <c r="A6" s="474" t="str">
        <f>'GASB 68 Sch Input CY'!A6</f>
        <v>Note: Net Pension Liability, Deferred Outflows and Deferred Inflows of Resources must be entered as POSITIVE numbers. Pension Expense numbers should reflect what is on the audited allocation schedules.</v>
      </c>
      <c r="B6" s="474"/>
      <c r="C6" s="474"/>
      <c r="D6" s="474"/>
      <c r="E6" s="474"/>
      <c r="F6" s="474"/>
      <c r="G6" s="474"/>
      <c r="H6" s="474"/>
      <c r="I6" s="474"/>
      <c r="J6" s="474"/>
      <c r="K6" s="474"/>
      <c r="L6" s="474"/>
      <c r="M6" s="474"/>
      <c r="N6" s="474"/>
      <c r="O6" s="474"/>
      <c r="P6" s="474"/>
      <c r="Q6" s="474"/>
      <c r="R6" s="474"/>
      <c r="S6" s="474"/>
      <c r="T6" s="474"/>
      <c r="U6" s="474"/>
      <c r="V6" s="474"/>
      <c r="W6" s="474"/>
      <c r="X6" s="474"/>
    </row>
    <row r="7" spans="1:31" x14ac:dyDescent="0.2">
      <c r="A7" s="474"/>
      <c r="B7" s="474"/>
      <c r="C7" s="474"/>
      <c r="D7" s="474"/>
      <c r="E7" s="474"/>
      <c r="F7" s="474"/>
      <c r="G7" s="474"/>
      <c r="H7" s="474"/>
      <c r="I7" s="474"/>
      <c r="J7" s="474"/>
      <c r="K7" s="474"/>
      <c r="L7" s="474"/>
      <c r="M7" s="474"/>
      <c r="N7" s="474"/>
      <c r="O7" s="474"/>
      <c r="P7" s="474"/>
      <c r="Q7" s="474"/>
      <c r="R7" s="474"/>
      <c r="S7" s="474"/>
      <c r="T7" s="474"/>
      <c r="U7" s="474"/>
      <c r="V7" s="474"/>
      <c r="W7" s="474"/>
      <c r="X7" s="474"/>
    </row>
    <row r="8" spans="1:31" ht="15.75" thickBot="1" x14ac:dyDescent="0.25"/>
    <row r="9" spans="1:31" ht="18.75" x14ac:dyDescent="0.3">
      <c r="A9" s="471" t="s">
        <v>167</v>
      </c>
      <c r="B9" s="472"/>
      <c r="C9" s="472"/>
      <c r="D9" s="472"/>
      <c r="E9" s="472"/>
      <c r="F9" s="472"/>
      <c r="G9" s="472"/>
      <c r="H9" s="472"/>
      <c r="I9" s="472"/>
      <c r="J9" s="472"/>
      <c r="K9" s="472"/>
      <c r="L9" s="472"/>
      <c r="M9" s="472"/>
      <c r="N9" s="472"/>
      <c r="O9" s="472"/>
      <c r="P9" s="472"/>
      <c r="Q9" s="472"/>
      <c r="R9" s="472"/>
      <c r="S9" s="472"/>
      <c r="T9" s="472"/>
      <c r="U9" s="472"/>
      <c r="V9" s="472"/>
      <c r="W9" s="472"/>
      <c r="X9" s="472"/>
      <c r="Y9" s="472"/>
      <c r="Z9" s="472"/>
      <c r="AA9" s="472"/>
      <c r="AB9" s="472"/>
      <c r="AC9" s="472"/>
      <c r="AD9" s="472"/>
      <c r="AE9" s="473"/>
    </row>
    <row r="10" spans="1:31" ht="18.75" x14ac:dyDescent="0.3">
      <c r="A10" s="468" t="s">
        <v>168</v>
      </c>
      <c r="B10" s="469"/>
      <c r="C10" s="469"/>
      <c r="D10" s="469"/>
      <c r="E10" s="469"/>
      <c r="F10" s="469"/>
      <c r="G10" s="469"/>
      <c r="H10" s="469"/>
      <c r="I10" s="469"/>
      <c r="J10" s="469"/>
      <c r="K10" s="469"/>
      <c r="L10" s="469"/>
      <c r="M10" s="469"/>
      <c r="N10" s="469"/>
      <c r="O10" s="469"/>
      <c r="P10" s="469"/>
      <c r="Q10" s="469"/>
      <c r="R10" s="469"/>
      <c r="S10" s="469"/>
      <c r="T10" s="469"/>
      <c r="U10" s="469"/>
      <c r="V10" s="469"/>
      <c r="W10" s="469"/>
      <c r="X10" s="469"/>
      <c r="Y10" s="469"/>
      <c r="Z10" s="469"/>
      <c r="AA10" s="469"/>
      <c r="AB10" s="469"/>
      <c r="AC10" s="469"/>
      <c r="AD10" s="469"/>
      <c r="AE10" s="470"/>
    </row>
    <row r="11" spans="1:31" ht="18.75" x14ac:dyDescent="0.3">
      <c r="A11" s="468" t="s">
        <v>538</v>
      </c>
      <c r="B11" s="469"/>
      <c r="C11" s="469"/>
      <c r="D11" s="469"/>
      <c r="E11" s="469"/>
      <c r="F11" s="469"/>
      <c r="G11" s="469"/>
      <c r="H11" s="469"/>
      <c r="I11" s="469"/>
      <c r="J11" s="469"/>
      <c r="K11" s="469"/>
      <c r="L11" s="469"/>
      <c r="M11" s="469"/>
      <c r="N11" s="469"/>
      <c r="O11" s="469"/>
      <c r="P11" s="469"/>
      <c r="Q11" s="469"/>
      <c r="R11" s="469"/>
      <c r="S11" s="469"/>
      <c r="T11" s="469"/>
      <c r="U11" s="469"/>
      <c r="V11" s="469"/>
      <c r="W11" s="469"/>
      <c r="X11" s="469"/>
      <c r="Y11" s="469"/>
      <c r="Z11" s="469"/>
      <c r="AA11" s="469"/>
      <c r="AB11" s="469"/>
      <c r="AC11" s="469"/>
      <c r="AD11" s="469"/>
      <c r="AE11" s="470"/>
    </row>
    <row r="12" spans="1:31" ht="15.75" thickBot="1" x14ac:dyDescent="0.25">
      <c r="A12" s="176"/>
      <c r="D12" s="177"/>
      <c r="E12" s="177"/>
      <c r="F12" s="177"/>
      <c r="G12" s="177"/>
      <c r="H12" s="177"/>
      <c r="I12" s="177"/>
      <c r="J12" s="177"/>
      <c r="K12" s="177"/>
      <c r="L12" s="177"/>
      <c r="AE12" s="160"/>
    </row>
    <row r="13" spans="1:31" ht="38.25" customHeight="1" thickBot="1" x14ac:dyDescent="0.3">
      <c r="A13" s="176"/>
      <c r="B13" s="178"/>
      <c r="C13" s="178"/>
      <c r="D13" s="459" t="s">
        <v>11</v>
      </c>
      <c r="E13" s="460"/>
      <c r="F13" s="460"/>
      <c r="G13" s="460"/>
      <c r="H13" s="460"/>
      <c r="I13" s="460"/>
      <c r="J13" s="460"/>
      <c r="K13" s="460"/>
      <c r="L13" s="460"/>
      <c r="M13" s="460"/>
      <c r="N13" s="461"/>
      <c r="O13" s="179"/>
      <c r="P13" s="459" t="s">
        <v>12</v>
      </c>
      <c r="Q13" s="460"/>
      <c r="R13" s="460"/>
      <c r="S13" s="460"/>
      <c r="T13" s="460"/>
      <c r="U13" s="460"/>
      <c r="V13" s="460"/>
      <c r="W13" s="460"/>
      <c r="X13" s="461"/>
      <c r="Z13" s="462" t="s">
        <v>356</v>
      </c>
      <c r="AA13" s="463"/>
      <c r="AB13" s="463"/>
      <c r="AC13" s="463"/>
      <c r="AD13" s="464"/>
      <c r="AE13" s="160"/>
    </row>
    <row r="14" spans="1:31" ht="103.5" thickBot="1" x14ac:dyDescent="0.35">
      <c r="A14" s="180" t="s">
        <v>169</v>
      </c>
      <c r="B14" s="181" t="s">
        <v>170</v>
      </c>
      <c r="C14" s="182"/>
      <c r="D14" s="181" t="s">
        <v>355</v>
      </c>
      <c r="E14" s="183"/>
      <c r="F14" s="181" t="s">
        <v>353</v>
      </c>
      <c r="G14" s="183"/>
      <c r="H14" s="181" t="s">
        <v>354</v>
      </c>
      <c r="I14" s="183"/>
      <c r="J14" s="181" t="s">
        <v>455</v>
      </c>
      <c r="K14" s="183"/>
      <c r="L14" s="181" t="s">
        <v>353</v>
      </c>
      <c r="M14" s="182"/>
      <c r="N14" s="184" t="s">
        <v>171</v>
      </c>
      <c r="O14" s="182"/>
      <c r="P14" s="181" t="s">
        <v>355</v>
      </c>
      <c r="Q14" s="182"/>
      <c r="R14" s="181" t="s">
        <v>353</v>
      </c>
      <c r="S14" s="183"/>
      <c r="T14" s="181" t="s">
        <v>354</v>
      </c>
      <c r="U14" s="183"/>
      <c r="V14" s="181" t="s">
        <v>455</v>
      </c>
      <c r="W14" s="183"/>
      <c r="X14" s="184" t="s">
        <v>172</v>
      </c>
      <c r="Y14" s="182"/>
      <c r="Z14" s="181" t="s">
        <v>173</v>
      </c>
      <c r="AA14" s="182"/>
      <c r="AB14" s="181" t="s">
        <v>357</v>
      </c>
      <c r="AC14" s="185"/>
      <c r="AD14" s="181" t="s">
        <v>174</v>
      </c>
      <c r="AE14" s="186"/>
    </row>
    <row r="15" spans="1:31" ht="18.75" x14ac:dyDescent="0.3">
      <c r="A15" s="180"/>
      <c r="B15" s="187"/>
      <c r="C15" s="188"/>
      <c r="D15" s="187"/>
      <c r="E15" s="187"/>
      <c r="F15" s="187"/>
      <c r="G15" s="187"/>
      <c r="H15" s="187"/>
      <c r="I15" s="187"/>
      <c r="J15" s="187"/>
      <c r="K15" s="187"/>
      <c r="L15" s="187"/>
      <c r="M15" s="189"/>
      <c r="N15" s="187"/>
      <c r="O15" s="189"/>
      <c r="P15" s="187"/>
      <c r="Q15" s="189"/>
      <c r="R15" s="187"/>
      <c r="S15" s="187"/>
      <c r="T15" s="187"/>
      <c r="U15" s="187"/>
      <c r="V15" s="187"/>
      <c r="W15" s="187"/>
      <c r="X15" s="187"/>
      <c r="Y15" s="189"/>
      <c r="Z15" s="187"/>
      <c r="AA15" s="189"/>
      <c r="AB15" s="187"/>
      <c r="AC15" s="190"/>
      <c r="AD15" s="187"/>
      <c r="AE15" s="186"/>
    </row>
    <row r="16" spans="1:31" ht="18.75" x14ac:dyDescent="0.3">
      <c r="A16" s="191" t="str">
        <f>'GASB 68 Sch Input CY'!A16</f>
        <v>(Insert Name of LEA)</v>
      </c>
      <c r="B16" s="104">
        <v>0</v>
      </c>
      <c r="C16" s="284"/>
      <c r="D16" s="104">
        <v>0</v>
      </c>
      <c r="E16" s="340"/>
      <c r="F16" s="104">
        <v>0</v>
      </c>
      <c r="G16" s="284"/>
      <c r="H16" s="104">
        <v>0</v>
      </c>
      <c r="I16" s="340"/>
      <c r="J16" s="104">
        <v>0</v>
      </c>
      <c r="K16" s="340"/>
      <c r="L16" s="104">
        <v>0</v>
      </c>
      <c r="M16" s="284"/>
      <c r="N16" s="285">
        <f>SUM(D16:M16)</f>
        <v>0</v>
      </c>
      <c r="O16" s="286"/>
      <c r="P16" s="104">
        <v>0</v>
      </c>
      <c r="Q16" s="284"/>
      <c r="R16" s="104">
        <v>0</v>
      </c>
      <c r="S16" s="284"/>
      <c r="T16" s="104">
        <v>0</v>
      </c>
      <c r="U16" s="340">
        <v>0</v>
      </c>
      <c r="V16" s="104">
        <v>0</v>
      </c>
      <c r="W16" s="284"/>
      <c r="X16" s="285">
        <f>SUM(P16:V16)</f>
        <v>0</v>
      </c>
      <c r="Y16" s="286"/>
      <c r="Z16" s="104">
        <v>0</v>
      </c>
      <c r="AA16" s="284"/>
      <c r="AB16" s="104">
        <v>0</v>
      </c>
      <c r="AC16" s="284"/>
      <c r="AD16" s="285">
        <f>SUM(Z16:AB16)</f>
        <v>0</v>
      </c>
      <c r="AE16" s="186"/>
    </row>
    <row r="17" spans="1:31" ht="18.75" x14ac:dyDescent="0.3">
      <c r="A17" s="192"/>
      <c r="B17" s="285"/>
      <c r="C17" s="287"/>
      <c r="D17" s="285"/>
      <c r="E17" s="285"/>
      <c r="F17" s="285"/>
      <c r="G17" s="287"/>
      <c r="H17" s="285"/>
      <c r="I17" s="285"/>
      <c r="J17" s="285"/>
      <c r="K17" s="285"/>
      <c r="L17" s="285"/>
      <c r="M17" s="287"/>
      <c r="N17" s="285"/>
      <c r="O17" s="286"/>
      <c r="P17" s="285"/>
      <c r="Q17" s="287"/>
      <c r="R17" s="285"/>
      <c r="S17" s="287"/>
      <c r="T17" s="285"/>
      <c r="U17" s="285"/>
      <c r="V17" s="285"/>
      <c r="W17" s="287"/>
      <c r="X17" s="285"/>
      <c r="Y17" s="286"/>
      <c r="Z17" s="285"/>
      <c r="AA17" s="287"/>
      <c r="AB17" s="285"/>
      <c r="AC17" s="287"/>
      <c r="AD17" s="285"/>
      <c r="AE17" s="186"/>
    </row>
    <row r="18" spans="1:31" ht="18.75" x14ac:dyDescent="0.3">
      <c r="A18" s="191" t="s">
        <v>188</v>
      </c>
      <c r="B18" s="336">
        <v>611183190</v>
      </c>
      <c r="C18" s="284"/>
      <c r="D18" s="336">
        <v>25378907</v>
      </c>
      <c r="E18" s="336"/>
      <c r="F18" s="336">
        <v>24791026</v>
      </c>
      <c r="G18" s="284"/>
      <c r="H18" s="336">
        <v>35706420</v>
      </c>
      <c r="I18" s="336"/>
      <c r="J18" s="336">
        <v>34529552</v>
      </c>
      <c r="K18" s="336"/>
      <c r="L18" s="336"/>
      <c r="M18" s="284"/>
      <c r="N18" s="285">
        <f>SUM(D18:M18)</f>
        <v>120405905</v>
      </c>
      <c r="O18" s="286"/>
      <c r="P18" s="336">
        <v>4984154</v>
      </c>
      <c r="Q18" s="284"/>
      <c r="R18" s="336"/>
      <c r="S18" s="284"/>
      <c r="T18" s="336">
        <v>30557065</v>
      </c>
      <c r="U18" s="336"/>
      <c r="V18" s="336">
        <v>0</v>
      </c>
      <c r="W18" s="284"/>
      <c r="X18" s="285">
        <f>SUM(P18:V18)</f>
        <v>35541219</v>
      </c>
      <c r="Y18" s="286"/>
      <c r="Z18" s="336">
        <v>43574930</v>
      </c>
      <c r="AA18" s="284"/>
      <c r="AB18" s="336">
        <v>-15586154</v>
      </c>
      <c r="AC18" s="284"/>
      <c r="AD18" s="285">
        <f>SUM(Z18:AB18)</f>
        <v>27988776</v>
      </c>
      <c r="AE18" s="186"/>
    </row>
    <row r="19" spans="1:31" ht="18.75" x14ac:dyDescent="0.3">
      <c r="A19" s="191" t="s">
        <v>189</v>
      </c>
      <c r="B19" s="336">
        <v>1775203692</v>
      </c>
      <c r="C19" s="284"/>
      <c r="D19" s="336">
        <v>73713960</v>
      </c>
      <c r="E19" s="336"/>
      <c r="F19" s="336">
        <v>72006433</v>
      </c>
      <c r="G19" s="284"/>
      <c r="H19" s="336">
        <v>25220462</v>
      </c>
      <c r="I19" s="336"/>
      <c r="J19" s="336">
        <v>100292334</v>
      </c>
      <c r="K19" s="336"/>
      <c r="L19" s="336"/>
      <c r="M19" s="284"/>
      <c r="N19" s="285">
        <f>SUM(D19:M19)</f>
        <v>271233189</v>
      </c>
      <c r="O19" s="286"/>
      <c r="P19" s="336">
        <v>14476653</v>
      </c>
      <c r="Q19" s="284"/>
      <c r="R19" s="336"/>
      <c r="S19" s="284"/>
      <c r="T19" s="336">
        <v>41396538</v>
      </c>
      <c r="U19" s="336"/>
      <c r="V19" s="336">
        <v>0</v>
      </c>
      <c r="W19" s="284"/>
      <c r="X19" s="285">
        <f>SUM(P19:V19)</f>
        <v>55873191</v>
      </c>
      <c r="Y19" s="286"/>
      <c r="Z19" s="336">
        <v>126564958</v>
      </c>
      <c r="AA19" s="284"/>
      <c r="AB19" s="336">
        <v>20312318</v>
      </c>
      <c r="AC19" s="284"/>
      <c r="AD19" s="285">
        <f>SUM(Z19:AB19)</f>
        <v>146877276</v>
      </c>
      <c r="AE19" s="186"/>
    </row>
    <row r="20" spans="1:31" ht="18.75" x14ac:dyDescent="0.3">
      <c r="A20" s="180"/>
      <c r="B20" s="335"/>
      <c r="C20" s="284"/>
      <c r="D20" s="335"/>
      <c r="E20" s="335"/>
      <c r="F20" s="335"/>
      <c r="G20" s="284"/>
      <c r="H20" s="335"/>
      <c r="I20" s="335"/>
      <c r="J20" s="337"/>
      <c r="K20" s="337"/>
      <c r="L20" s="335"/>
      <c r="M20" s="284"/>
      <c r="N20" s="285"/>
      <c r="O20" s="444"/>
      <c r="P20" s="337"/>
      <c r="Q20" s="284"/>
      <c r="R20" s="335"/>
      <c r="S20" s="284"/>
      <c r="T20" s="335"/>
      <c r="U20" s="335"/>
      <c r="V20" s="335"/>
      <c r="W20" s="284"/>
      <c r="X20" s="285"/>
      <c r="Y20" s="444"/>
      <c r="Z20" s="335"/>
      <c r="AA20" s="284"/>
      <c r="AB20" s="335"/>
      <c r="AC20" s="284"/>
      <c r="AD20" s="285"/>
      <c r="AE20" s="186"/>
    </row>
    <row r="21" spans="1:31" ht="18.75" x14ac:dyDescent="0.3">
      <c r="A21" s="193" t="s">
        <v>175</v>
      </c>
      <c r="B21" s="337">
        <v>2572065000</v>
      </c>
      <c r="C21" s="284"/>
      <c r="D21" s="337">
        <v>106803000</v>
      </c>
      <c r="E21" s="337"/>
      <c r="F21" s="337">
        <v>104329000</v>
      </c>
      <c r="G21" s="284"/>
      <c r="H21" s="337">
        <v>106155067</v>
      </c>
      <c r="I21" s="337"/>
      <c r="J21" s="337">
        <v>145312000</v>
      </c>
      <c r="K21" s="337"/>
      <c r="L21" s="337"/>
      <c r="M21" s="284"/>
      <c r="N21" s="335">
        <f>SUM(D21:M21)</f>
        <v>462599067</v>
      </c>
      <c r="O21" s="444"/>
      <c r="P21" s="337">
        <v>20975000</v>
      </c>
      <c r="Q21" s="284"/>
      <c r="R21" s="337"/>
      <c r="S21" s="284"/>
      <c r="T21" s="337">
        <v>106155067</v>
      </c>
      <c r="U21" s="337"/>
      <c r="V21" s="337">
        <v>0</v>
      </c>
      <c r="W21" s="284"/>
      <c r="X21" s="337">
        <f>SUM(P21:V21)</f>
        <v>127130067</v>
      </c>
      <c r="Y21" s="444"/>
      <c r="Z21" s="337">
        <v>183378000</v>
      </c>
      <c r="AA21" s="284"/>
      <c r="AB21" s="337">
        <v>0</v>
      </c>
      <c r="AC21" s="284"/>
      <c r="AD21" s="337">
        <f>SUM(Z21:AB21)</f>
        <v>183378000</v>
      </c>
      <c r="AE21" s="186"/>
    </row>
    <row r="22" spans="1:31" x14ac:dyDescent="0.2">
      <c r="A22" s="194"/>
      <c r="B22" s="195"/>
      <c r="C22" s="195"/>
      <c r="D22" s="195"/>
      <c r="E22" s="195"/>
      <c r="F22" s="195"/>
      <c r="G22" s="196"/>
      <c r="H22" s="196"/>
      <c r="I22" s="196"/>
      <c r="J22" s="196"/>
      <c r="K22" s="196"/>
      <c r="L22" s="196"/>
      <c r="M22" s="195"/>
      <c r="N22" s="195"/>
      <c r="O22" s="195"/>
      <c r="P22" s="195"/>
      <c r="Q22" s="195"/>
      <c r="R22" s="195"/>
      <c r="S22" s="195"/>
      <c r="T22" s="195"/>
      <c r="U22" s="195"/>
      <c r="V22" s="195"/>
      <c r="W22" s="195"/>
      <c r="X22" s="195"/>
      <c r="Y22" s="195"/>
      <c r="Z22" s="195"/>
      <c r="AA22" s="195"/>
      <c r="AB22" s="195"/>
      <c r="AC22" s="195"/>
      <c r="AD22" s="195"/>
      <c r="AE22" s="197"/>
    </row>
    <row r="23" spans="1:31" ht="16.5" thickBot="1" x14ac:dyDescent="0.3">
      <c r="A23" s="198"/>
      <c r="B23" s="199"/>
      <c r="C23" s="199"/>
      <c r="D23" s="199"/>
      <c r="E23" s="199"/>
      <c r="F23" s="430"/>
      <c r="G23" s="200"/>
      <c r="H23" s="200"/>
      <c r="I23" s="200"/>
      <c r="J23" s="200"/>
      <c r="K23" s="200"/>
      <c r="L23" s="200"/>
      <c r="M23" s="199"/>
      <c r="N23" s="199"/>
      <c r="O23" s="199"/>
      <c r="P23" s="199"/>
      <c r="Q23" s="199"/>
      <c r="R23" s="199"/>
      <c r="S23" s="199"/>
      <c r="T23" s="199"/>
      <c r="U23" s="199"/>
      <c r="V23" s="199"/>
      <c r="W23" s="199"/>
      <c r="X23" s="199"/>
      <c r="Y23" s="199"/>
      <c r="Z23" s="199"/>
      <c r="AA23" s="199"/>
      <c r="AB23" s="199"/>
      <c r="AC23" s="199"/>
      <c r="AD23" s="199"/>
      <c r="AE23" s="201"/>
    </row>
    <row r="24" spans="1:31" x14ac:dyDescent="0.2">
      <c r="D24" s="155"/>
      <c r="E24" s="155"/>
      <c r="F24" s="155"/>
      <c r="J24" s="30"/>
      <c r="K24" s="30"/>
      <c r="L24" s="30"/>
      <c r="N24" s="30"/>
      <c r="O24" s="23"/>
    </row>
    <row r="25" spans="1:31" x14ac:dyDescent="0.2">
      <c r="D25" s="30"/>
      <c r="E25" s="30"/>
      <c r="F25" s="30"/>
      <c r="H25" s="30"/>
      <c r="I25" s="23"/>
      <c r="N25" s="30"/>
      <c r="O25" s="23"/>
    </row>
    <row r="26" spans="1:31" ht="15.75" thickBot="1" x14ac:dyDescent="0.25">
      <c r="H26" s="30"/>
      <c r="I26" s="23"/>
      <c r="N26" s="30"/>
      <c r="O26" s="23"/>
    </row>
    <row r="27" spans="1:31" ht="18.75" x14ac:dyDescent="0.3">
      <c r="A27" s="471" t="s">
        <v>190</v>
      </c>
      <c r="B27" s="472"/>
      <c r="C27" s="472"/>
      <c r="D27" s="404"/>
      <c r="E27" s="405"/>
      <c r="F27" s="189"/>
      <c r="G27" s="189"/>
      <c r="H27" s="31"/>
      <c r="N27" s="30"/>
      <c r="O27" s="23"/>
    </row>
    <row r="28" spans="1:31" ht="18.75" x14ac:dyDescent="0.3">
      <c r="A28" s="468" t="s">
        <v>168</v>
      </c>
      <c r="B28" s="469"/>
      <c r="C28" s="469"/>
      <c r="D28" s="189"/>
      <c r="E28" s="403"/>
      <c r="F28" s="189"/>
      <c r="G28" s="189"/>
      <c r="H28" s="31"/>
    </row>
    <row r="29" spans="1:31" ht="18.75" x14ac:dyDescent="0.3">
      <c r="A29" s="468" t="str">
        <f>A11</f>
        <v>As of and for the Year Ended June 30, 2022</v>
      </c>
      <c r="B29" s="469"/>
      <c r="C29" s="469"/>
      <c r="D29" s="189"/>
      <c r="E29" s="403"/>
      <c r="F29" s="189"/>
      <c r="G29" s="189"/>
    </row>
    <row r="30" spans="1:31" x14ac:dyDescent="0.2">
      <c r="A30" s="176"/>
      <c r="E30" s="160"/>
      <c r="J30" s="30"/>
      <c r="K30" s="30"/>
      <c r="L30" s="30"/>
    </row>
    <row r="31" spans="1:31" ht="65.25" x14ac:dyDescent="0.3">
      <c r="A31" s="180" t="s">
        <v>169</v>
      </c>
      <c r="B31" s="187" t="s">
        <v>432</v>
      </c>
      <c r="C31" s="188"/>
      <c r="D31" s="187" t="s">
        <v>191</v>
      </c>
      <c r="E31" s="427"/>
      <c r="F31" s="187"/>
      <c r="J31" s="30"/>
      <c r="K31" s="30"/>
      <c r="L31" s="30"/>
    </row>
    <row r="32" spans="1:31" x14ac:dyDescent="0.2">
      <c r="A32" s="176"/>
      <c r="E32" s="160"/>
      <c r="J32" s="30"/>
      <c r="K32" s="30"/>
      <c r="L32" s="30"/>
    </row>
    <row r="33" spans="1:12" ht="15.75" x14ac:dyDescent="0.25">
      <c r="A33" s="191" t="str">
        <f>A16</f>
        <v>(Insert Name of LEA)</v>
      </c>
      <c r="B33" s="104">
        <v>0</v>
      </c>
      <c r="C33" s="283"/>
      <c r="D33" s="99">
        <v>0</v>
      </c>
      <c r="E33" s="428"/>
      <c r="F33" s="416"/>
      <c r="G33" s="333"/>
    </row>
    <row r="34" spans="1:12" ht="18.75" x14ac:dyDescent="0.3">
      <c r="A34" s="192"/>
      <c r="B34" s="285"/>
      <c r="D34" s="203"/>
      <c r="E34" s="429"/>
      <c r="F34" s="417"/>
    </row>
    <row r="35" spans="1:12" ht="15.75" x14ac:dyDescent="0.25">
      <c r="A35" s="191" t="s">
        <v>188</v>
      </c>
      <c r="B35" s="336">
        <v>100085768</v>
      </c>
      <c r="C35" s="283"/>
      <c r="D35" s="413">
        <v>0.23762353999999999</v>
      </c>
      <c r="E35" s="412"/>
      <c r="F35" s="413"/>
      <c r="G35" s="333"/>
    </row>
    <row r="36" spans="1:12" ht="15.75" x14ac:dyDescent="0.25">
      <c r="A36" s="191" t="s">
        <v>189</v>
      </c>
      <c r="B36" s="336">
        <v>281632070</v>
      </c>
      <c r="C36" s="283"/>
      <c r="D36" s="413">
        <v>0.69018617000000004</v>
      </c>
      <c r="E36" s="412"/>
      <c r="F36" s="413"/>
      <c r="G36" s="333"/>
    </row>
    <row r="37" spans="1:12" ht="15.75" x14ac:dyDescent="0.25">
      <c r="A37" s="191" t="s">
        <v>459</v>
      </c>
      <c r="B37" s="336">
        <v>3811228</v>
      </c>
      <c r="C37" s="283"/>
      <c r="D37" s="413">
        <v>9.0486100000000003E-3</v>
      </c>
      <c r="E37" s="412"/>
      <c r="F37" s="413"/>
      <c r="G37" s="333"/>
      <c r="J37" s="204"/>
      <c r="K37" s="204"/>
      <c r="L37" s="204"/>
    </row>
    <row r="38" spans="1:12" ht="16.5" thickBot="1" x14ac:dyDescent="0.3">
      <c r="A38" s="198" t="s">
        <v>175</v>
      </c>
      <c r="B38" s="445">
        <v>412124000</v>
      </c>
      <c r="C38" s="446"/>
      <c r="D38" s="451">
        <v>1</v>
      </c>
      <c r="E38" s="414"/>
      <c r="F38" s="415"/>
      <c r="G38" s="333"/>
    </row>
  </sheetData>
  <sheetProtection algorithmName="SHA-512" hashValue="Vdm3etQcTJSDpy1XyHhew7cjBpJ3B5pC44331RYXt/Cu1oXl2HLEHumUB+ytV0h1sB8y4iynv3kcsBrNtLHH2Q==" saltValue="DiXUrmyTwXcGuikRDzxnGA==" spinCount="100000" sheet="1" objects="1" scenarios="1"/>
  <mergeCells count="10">
    <mergeCell ref="A6:X7"/>
    <mergeCell ref="A27:C27"/>
    <mergeCell ref="A28:C28"/>
    <mergeCell ref="A29:C29"/>
    <mergeCell ref="A9:AE9"/>
    <mergeCell ref="A10:AE10"/>
    <mergeCell ref="A11:AE11"/>
    <mergeCell ref="D13:N13"/>
    <mergeCell ref="P13:X13"/>
    <mergeCell ref="Z13:AD1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7030A0"/>
  </sheetPr>
  <dimension ref="A1:J29"/>
  <sheetViews>
    <sheetView workbookViewId="0">
      <selection activeCell="N17" sqref="N17"/>
    </sheetView>
  </sheetViews>
  <sheetFormatPr defaultRowHeight="15" x14ac:dyDescent="0.2"/>
  <cols>
    <col min="2" max="2" width="10.44140625" customWidth="1"/>
    <col min="3" max="3" width="1.33203125" customWidth="1"/>
    <col min="4" max="4" width="20.88671875" customWidth="1"/>
    <col min="5" max="5" width="4.21875" customWidth="1"/>
    <col min="6" max="6" width="18.77734375" customWidth="1"/>
    <col min="7" max="7" width="2.77734375" customWidth="1"/>
    <col min="8" max="8" width="18.77734375" hidden="1" customWidth="1"/>
    <col min="9" max="9" width="2.77734375" customWidth="1"/>
    <col min="10" max="10" width="18.77734375" customWidth="1"/>
  </cols>
  <sheetData>
    <row r="1" spans="1:10" ht="18" x14ac:dyDescent="0.25">
      <c r="A1" s="20" t="s">
        <v>18</v>
      </c>
    </row>
    <row r="2" spans="1:10" ht="18" x14ac:dyDescent="0.25">
      <c r="A2" s="20" t="str">
        <f>'GASB 68 JEs'!H6</f>
        <v>Password for protected sheet: BOE2024</v>
      </c>
    </row>
    <row r="4" spans="1:10" ht="15.75" customHeight="1" x14ac:dyDescent="0.2">
      <c r="A4" s="476" t="s">
        <v>473</v>
      </c>
      <c r="B4" s="476"/>
      <c r="C4" s="476"/>
      <c r="D4" s="476"/>
      <c r="E4" s="476"/>
      <c r="F4" s="476"/>
      <c r="G4" s="476"/>
      <c r="H4" s="476"/>
      <c r="I4" s="476"/>
      <c r="J4" s="476"/>
    </row>
    <row r="5" spans="1:10" ht="15.75" customHeight="1" x14ac:dyDescent="0.2">
      <c r="A5" s="476"/>
      <c r="B5" s="476"/>
      <c r="C5" s="476"/>
      <c r="D5" s="476"/>
      <c r="E5" s="476"/>
      <c r="F5" s="476"/>
      <c r="G5" s="476"/>
      <c r="H5" s="476"/>
      <c r="I5" s="476"/>
      <c r="J5" s="476"/>
    </row>
    <row r="6" spans="1:10" ht="15.75" customHeight="1" x14ac:dyDescent="0.2">
      <c r="A6" s="476"/>
      <c r="B6" s="476"/>
      <c r="C6" s="476"/>
      <c r="D6" s="476"/>
      <c r="E6" s="476"/>
      <c r="F6" s="476"/>
      <c r="G6" s="476"/>
      <c r="H6" s="476"/>
      <c r="I6" s="476"/>
      <c r="J6" s="476"/>
    </row>
    <row r="7" spans="1:10" ht="15.75" customHeight="1" x14ac:dyDescent="0.2">
      <c r="A7" s="476"/>
      <c r="B7" s="476"/>
      <c r="C7" s="476"/>
      <c r="D7" s="476"/>
      <c r="E7" s="476"/>
      <c r="F7" s="476"/>
      <c r="G7" s="476"/>
      <c r="H7" s="476"/>
      <c r="I7" s="476"/>
      <c r="J7" s="476"/>
    </row>
    <row r="8" spans="1:10" ht="15.75" customHeight="1" x14ac:dyDescent="0.2">
      <c r="A8" s="476"/>
      <c r="B8" s="476"/>
      <c r="C8" s="476"/>
      <c r="D8" s="476"/>
      <c r="E8" s="476"/>
      <c r="F8" s="476"/>
      <c r="G8" s="476"/>
      <c r="H8" s="476"/>
      <c r="I8" s="476"/>
      <c r="J8" s="476"/>
    </row>
    <row r="9" spans="1:10" ht="15.75" customHeight="1" x14ac:dyDescent="0.2">
      <c r="A9" s="476"/>
      <c r="B9" s="476"/>
      <c r="C9" s="476"/>
      <c r="D9" s="476"/>
      <c r="E9" s="476"/>
      <c r="F9" s="476"/>
      <c r="G9" s="476"/>
      <c r="H9" s="476"/>
      <c r="I9" s="476"/>
      <c r="J9" s="476"/>
    </row>
    <row r="10" spans="1:10" ht="15.75" customHeight="1" x14ac:dyDescent="0.2">
      <c r="A10" s="476"/>
      <c r="B10" s="476"/>
      <c r="C10" s="476"/>
      <c r="D10" s="476"/>
      <c r="E10" s="476"/>
      <c r="F10" s="476"/>
      <c r="G10" s="476"/>
      <c r="H10" s="476"/>
      <c r="I10" s="476"/>
      <c r="J10" s="476"/>
    </row>
    <row r="11" spans="1:10" x14ac:dyDescent="0.2">
      <c r="A11" s="476"/>
      <c r="B11" s="476"/>
      <c r="C11" s="476"/>
      <c r="D11" s="476"/>
      <c r="E11" s="476"/>
      <c r="F11" s="476"/>
      <c r="G11" s="476"/>
      <c r="H11" s="476"/>
      <c r="I11" s="476"/>
      <c r="J11" s="476"/>
    </row>
    <row r="12" spans="1:10" x14ac:dyDescent="0.2">
      <c r="A12" s="476"/>
      <c r="B12" s="476"/>
      <c r="C12" s="476"/>
      <c r="D12" s="476"/>
      <c r="E12" s="476"/>
      <c r="F12" s="476"/>
      <c r="G12" s="476"/>
      <c r="H12" s="476"/>
      <c r="I12" s="476"/>
      <c r="J12" s="476"/>
    </row>
    <row r="13" spans="1:10" x14ac:dyDescent="0.2">
      <c r="A13" s="476"/>
      <c r="B13" s="476"/>
      <c r="C13" s="476"/>
      <c r="D13" s="476"/>
      <c r="E13" s="476"/>
      <c r="F13" s="476"/>
      <c r="G13" s="476"/>
      <c r="H13" s="476"/>
      <c r="I13" s="476"/>
      <c r="J13" s="476"/>
    </row>
    <row r="14" spans="1:10" x14ac:dyDescent="0.2">
      <c r="A14" s="476"/>
      <c r="B14" s="476"/>
      <c r="C14" s="476"/>
      <c r="D14" s="476"/>
      <c r="E14" s="476"/>
      <c r="F14" s="476"/>
      <c r="G14" s="476"/>
      <c r="H14" s="476"/>
      <c r="I14" s="476"/>
      <c r="J14" s="476"/>
    </row>
    <row r="16" spans="1:10" ht="15.75" thickBot="1" x14ac:dyDescent="0.25">
      <c r="F16" s="475" t="s">
        <v>385</v>
      </c>
      <c r="G16" s="475"/>
      <c r="H16" s="475"/>
      <c r="I16" s="475"/>
      <c r="J16" s="475"/>
    </row>
    <row r="17" spans="2:10" ht="45.75" thickBot="1" x14ac:dyDescent="0.25">
      <c r="B17" s="153" t="s">
        <v>142</v>
      </c>
      <c r="D17" s="153" t="s">
        <v>384</v>
      </c>
      <c r="F17" s="154" t="s">
        <v>474</v>
      </c>
      <c r="G17" s="154"/>
      <c r="H17" s="154"/>
      <c r="I17" s="154"/>
      <c r="J17" s="154" t="s">
        <v>328</v>
      </c>
    </row>
    <row r="19" spans="2:10" x14ac:dyDescent="0.2">
      <c r="B19" s="43">
        <f>'Change in Proportion - LEA'!C10+1</f>
        <v>2025</v>
      </c>
      <c r="D19" s="452">
        <f>-57450000+37654000+48693000</f>
        <v>28897000</v>
      </c>
      <c r="F19" s="96">
        <f>ROUND(D19*'Net LEA Amounts'!$K$13,0)</f>
        <v>0</v>
      </c>
      <c r="H19" s="96"/>
      <c r="J19" s="96">
        <f>ROUND(D19*'Net LEA Amounts'!$I$13,0)</f>
        <v>0</v>
      </c>
    </row>
    <row r="20" spans="2:10" x14ac:dyDescent="0.2">
      <c r="B20" s="43">
        <f>B19+1</f>
        <v>2026</v>
      </c>
      <c r="D20" s="452">
        <f>-126537000+26727000+45213000</f>
        <v>-54597000</v>
      </c>
      <c r="F20" s="96">
        <f>ROUND(D20*'Net LEA Amounts'!$K$13,0)</f>
        <v>0</v>
      </c>
      <c r="H20" s="96"/>
      <c r="J20" s="96">
        <f>ROUND(D20*'Net LEA Amounts'!$I$13,0)</f>
        <v>0</v>
      </c>
    </row>
    <row r="21" spans="2:10" x14ac:dyDescent="0.2">
      <c r="B21" s="43">
        <f>B20+1</f>
        <v>2027</v>
      </c>
      <c r="D21" s="452">
        <f>243368000+8835000+2712000</f>
        <v>254915000</v>
      </c>
      <c r="F21" s="96">
        <f>ROUND(D21*'Net LEA Amounts'!$K$13,0)</f>
        <v>0</v>
      </c>
      <c r="H21" s="96"/>
      <c r="J21" s="96">
        <f>ROUND(D21*'Net LEA Amounts'!$I$13,0)</f>
        <v>0</v>
      </c>
    </row>
    <row r="22" spans="2:10" x14ac:dyDescent="0.2">
      <c r="B22" s="43">
        <f>B21+1</f>
        <v>2028</v>
      </c>
      <c r="D22" s="452">
        <f>-19056000+4444000</f>
        <v>-14612000</v>
      </c>
      <c r="F22" s="96">
        <f>ROUND(D22*'Net LEA Amounts'!$K$13,0)</f>
        <v>0</v>
      </c>
      <c r="H22" s="96"/>
      <c r="J22" s="96">
        <f>ROUND(D22*'Net LEA Amounts'!$I$13,0)</f>
        <v>0</v>
      </c>
    </row>
    <row r="23" spans="2:10" x14ac:dyDescent="0.2">
      <c r="B23" s="43">
        <f>B22+1</f>
        <v>2029</v>
      </c>
      <c r="D23" s="452">
        <v>160000</v>
      </c>
      <c r="F23" s="96">
        <f>ROUND(D23*'Net LEA Amounts'!$K$13,0)</f>
        <v>0</v>
      </c>
      <c r="H23" s="96"/>
      <c r="J23" s="96">
        <f>ROUND(D23*'Net LEA Amounts'!$I$13,0)</f>
        <v>0</v>
      </c>
    </row>
    <row r="24" spans="2:10" x14ac:dyDescent="0.2">
      <c r="B24" s="43" t="s">
        <v>143</v>
      </c>
      <c r="D24" s="452">
        <v>0</v>
      </c>
      <c r="F24" s="96">
        <f>ROUND(D24*'Net LEA Amounts'!$K$13,0)</f>
        <v>0</v>
      </c>
      <c r="H24" s="96"/>
      <c r="J24" s="96">
        <f>ROUND(D24*'Net LEA Amounts'!$I$13,0)</f>
        <v>0</v>
      </c>
    </row>
    <row r="25" spans="2:10" ht="15.75" thickBot="1" x14ac:dyDescent="0.25">
      <c r="B25" s="44" t="s">
        <v>5</v>
      </c>
      <c r="D25" s="29">
        <f>SUM(D19:D24)</f>
        <v>214763000</v>
      </c>
      <c r="F25" s="29">
        <f>SUM(F19:F24)</f>
        <v>0</v>
      </c>
      <c r="H25" s="29"/>
      <c r="J25" s="29">
        <f>SUM(J19:J24)</f>
        <v>0</v>
      </c>
    </row>
    <row r="26" spans="2:10" ht="15.75" thickTop="1" x14ac:dyDescent="0.2"/>
    <row r="27" spans="2:10" x14ac:dyDescent="0.2">
      <c r="D27" s="31"/>
    </row>
    <row r="28" spans="2:10" x14ac:dyDescent="0.2">
      <c r="D28" s="342"/>
    </row>
    <row r="29" spans="2:10" x14ac:dyDescent="0.2">
      <c r="D29" s="30"/>
    </row>
  </sheetData>
  <sheetProtection algorithmName="SHA-512" hashValue="iydNeX1qKSEY90G8G/iABi6zVv6hNWbCOGClA5FfR5zOT5EPsVW//a6WlkHGGaqn1pXneHenVE2RAnkhG6XhdQ==" saltValue="A0o14XQvVsVbCW3A/pbYvA==" spinCount="100000" sheet="1" objects="1" scenarios="1"/>
  <mergeCells count="2">
    <mergeCell ref="F16:J16"/>
    <mergeCell ref="A4:J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030A0"/>
  </sheetPr>
  <dimension ref="A1:N95"/>
  <sheetViews>
    <sheetView zoomScaleNormal="100" workbookViewId="0">
      <pane xSplit="2" ySplit="8" topLeftCell="C9" activePane="bottomRight" state="frozenSplit"/>
      <selection activeCell="O22" sqref="O22"/>
      <selection pane="topRight" activeCell="O22" sqref="O22"/>
      <selection pane="bottomLeft" activeCell="O22" sqref="O22"/>
      <selection pane="bottomRight" activeCell="O19" sqref="O19"/>
    </sheetView>
  </sheetViews>
  <sheetFormatPr defaultColWidth="8.88671875" defaultRowHeight="15" x14ac:dyDescent="0.2"/>
  <cols>
    <col min="1" max="1" width="18" style="48" customWidth="1"/>
    <col min="2" max="2" width="22.77734375" style="48" customWidth="1"/>
    <col min="3" max="3" width="1.88671875" style="48" customWidth="1"/>
    <col min="4" max="4" width="9.88671875" style="48" customWidth="1"/>
    <col min="5" max="5" width="11.44140625" style="48" customWidth="1"/>
    <col min="6" max="6" width="11.77734375" style="48" customWidth="1"/>
    <col min="7" max="7" width="1.5546875" style="48" customWidth="1"/>
    <col min="8" max="8" width="10" style="48" bestFit="1" customWidth="1"/>
    <col min="9" max="10" width="10.77734375" style="48" customWidth="1"/>
    <col min="11" max="11" width="1.109375" style="48" customWidth="1"/>
    <col min="12" max="12" width="3.77734375" style="48" customWidth="1"/>
    <col min="13" max="13" width="12.21875" style="48" customWidth="1"/>
    <col min="14" max="16384" width="8.88671875" style="48"/>
  </cols>
  <sheetData>
    <row r="1" spans="1:13" ht="30.75" thickBot="1" x14ac:dyDescent="0.45">
      <c r="H1" s="478" t="s">
        <v>251</v>
      </c>
      <c r="I1" s="479"/>
      <c r="J1" s="479"/>
      <c r="K1" s="479"/>
      <c r="L1" s="479"/>
      <c r="M1" s="480"/>
    </row>
    <row r="2" spans="1:13" x14ac:dyDescent="0.2">
      <c r="A2" s="48" t="s">
        <v>460</v>
      </c>
    </row>
    <row r="3" spans="1:13" x14ac:dyDescent="0.2">
      <c r="A3" s="48" t="s">
        <v>22</v>
      </c>
    </row>
    <row r="4" spans="1:13" ht="18" x14ac:dyDescent="0.25">
      <c r="A4" s="20" t="s">
        <v>18</v>
      </c>
    </row>
    <row r="5" spans="1:13" ht="18" x14ac:dyDescent="0.25">
      <c r="A5" s="20" t="str">
        <f>'Amortization Input CY'!A2</f>
        <v>Password for protected sheet: BOE2024</v>
      </c>
    </row>
    <row r="6" spans="1:13" s="115" customFormat="1" ht="12.75" x14ac:dyDescent="0.2">
      <c r="A6" s="122"/>
      <c r="B6" s="122"/>
      <c r="C6" s="122"/>
      <c r="D6" s="484" t="s">
        <v>539</v>
      </c>
      <c r="E6" s="484"/>
      <c r="F6" s="484"/>
      <c r="G6" s="122"/>
      <c r="H6" s="484" t="s">
        <v>549</v>
      </c>
      <c r="I6" s="484"/>
      <c r="J6" s="484"/>
      <c r="K6" s="122"/>
      <c r="L6" s="122"/>
      <c r="M6" s="124" t="str">
        <f>H6</f>
        <v>FY2024</v>
      </c>
    </row>
    <row r="7" spans="1:13" s="115" customFormat="1" ht="12.75" x14ac:dyDescent="0.2">
      <c r="A7" s="123" t="s">
        <v>23</v>
      </c>
      <c r="B7" s="123" t="s">
        <v>24</v>
      </c>
      <c r="C7" s="122"/>
      <c r="D7" s="126" t="s">
        <v>25</v>
      </c>
      <c r="E7" s="126" t="s">
        <v>26</v>
      </c>
      <c r="F7" s="126" t="s">
        <v>5</v>
      </c>
      <c r="G7" s="126"/>
      <c r="H7" s="126" t="s">
        <v>25</v>
      </c>
      <c r="I7" s="126" t="s">
        <v>26</v>
      </c>
      <c r="J7" s="126" t="s">
        <v>5</v>
      </c>
      <c r="K7" s="122"/>
      <c r="L7" s="122"/>
      <c r="M7" s="127" t="s">
        <v>246</v>
      </c>
    </row>
    <row r="8" spans="1:13" s="115" customFormat="1" ht="12.75" x14ac:dyDescent="0.2"/>
    <row r="9" spans="1:13" s="115" customFormat="1" ht="12.75" x14ac:dyDescent="0.2">
      <c r="A9" s="116" t="s">
        <v>519</v>
      </c>
      <c r="B9" s="115" t="s">
        <v>27</v>
      </c>
      <c r="C9" s="116"/>
      <c r="D9" s="117">
        <v>0</v>
      </c>
      <c r="E9" s="117">
        <v>0</v>
      </c>
      <c r="F9" s="118">
        <f>SUM(D9:E9)</f>
        <v>0</v>
      </c>
      <c r="G9" s="118"/>
      <c r="H9" s="117">
        <v>0</v>
      </c>
      <c r="I9" s="117">
        <v>0</v>
      </c>
      <c r="J9" s="118">
        <f>SUM(H9:I9)</f>
        <v>0</v>
      </c>
      <c r="M9" s="117">
        <v>0</v>
      </c>
    </row>
    <row r="10" spans="1:13" s="115" customFormat="1" ht="12.75" x14ac:dyDescent="0.2">
      <c r="A10" s="115" t="s">
        <v>527</v>
      </c>
      <c r="B10" s="115" t="s">
        <v>28</v>
      </c>
      <c r="D10" s="117">
        <v>0</v>
      </c>
      <c r="E10" s="117">
        <v>0</v>
      </c>
      <c r="F10" s="118">
        <f t="shared" ref="F10:F45" si="0">SUM(D10:E10)</f>
        <v>0</v>
      </c>
      <c r="G10" s="118"/>
      <c r="H10" s="117">
        <v>0</v>
      </c>
      <c r="I10" s="117">
        <v>0</v>
      </c>
      <c r="J10" s="118">
        <f t="shared" ref="J10:J45" si="1">SUM(H10:I10)</f>
        <v>0</v>
      </c>
      <c r="M10" s="117">
        <v>0</v>
      </c>
    </row>
    <row r="11" spans="1:13" s="115" customFormat="1" ht="12.75" x14ac:dyDescent="0.2">
      <c r="A11" s="115" t="s">
        <v>520</v>
      </c>
      <c r="B11" s="115" t="s">
        <v>29</v>
      </c>
      <c r="D11" s="117">
        <v>0</v>
      </c>
      <c r="E11" s="117">
        <v>0</v>
      </c>
      <c r="F11" s="118">
        <f t="shared" si="0"/>
        <v>0</v>
      </c>
      <c r="G11" s="118"/>
      <c r="H11" s="117">
        <v>0</v>
      </c>
      <c r="I11" s="117">
        <v>0</v>
      </c>
      <c r="J11" s="118">
        <f t="shared" si="1"/>
        <v>0</v>
      </c>
      <c r="M11" s="117">
        <v>0</v>
      </c>
    </row>
    <row r="12" spans="1:13" s="115" customFormat="1" ht="12.75" x14ac:dyDescent="0.2">
      <c r="A12" s="116" t="s">
        <v>521</v>
      </c>
      <c r="B12" s="115" t="s">
        <v>30</v>
      </c>
      <c r="C12" s="116"/>
      <c r="D12" s="117">
        <v>0</v>
      </c>
      <c r="E12" s="117">
        <v>0</v>
      </c>
      <c r="F12" s="118">
        <f t="shared" si="0"/>
        <v>0</v>
      </c>
      <c r="G12" s="118"/>
      <c r="H12" s="117">
        <v>0</v>
      </c>
      <c r="I12" s="117">
        <v>0</v>
      </c>
      <c r="J12" s="118">
        <f t="shared" si="1"/>
        <v>0</v>
      </c>
      <c r="M12" s="117">
        <v>0</v>
      </c>
    </row>
    <row r="13" spans="1:13" s="115" customFormat="1" ht="12.75" x14ac:dyDescent="0.2">
      <c r="A13" s="115" t="s">
        <v>522</v>
      </c>
      <c r="B13" s="115" t="s">
        <v>31</v>
      </c>
      <c r="D13" s="117">
        <v>0</v>
      </c>
      <c r="E13" s="117">
        <v>0</v>
      </c>
      <c r="F13" s="118">
        <f t="shared" si="0"/>
        <v>0</v>
      </c>
      <c r="G13" s="118"/>
      <c r="H13" s="117">
        <v>0</v>
      </c>
      <c r="I13" s="117">
        <v>0</v>
      </c>
      <c r="J13" s="118">
        <f t="shared" si="1"/>
        <v>0</v>
      </c>
      <c r="M13" s="117">
        <v>0</v>
      </c>
    </row>
    <row r="14" spans="1:13" s="115" customFormat="1" ht="12.75" x14ac:dyDescent="0.2">
      <c r="A14" s="115" t="s">
        <v>523</v>
      </c>
      <c r="B14" s="115" t="s">
        <v>32</v>
      </c>
      <c r="D14" s="117">
        <v>0</v>
      </c>
      <c r="E14" s="117">
        <v>0</v>
      </c>
      <c r="F14" s="118">
        <f t="shared" si="0"/>
        <v>0</v>
      </c>
      <c r="G14" s="118"/>
      <c r="H14" s="117">
        <v>0</v>
      </c>
      <c r="I14" s="117">
        <v>0</v>
      </c>
      <c r="J14" s="118">
        <f t="shared" si="1"/>
        <v>0</v>
      </c>
      <c r="M14" s="117">
        <v>0</v>
      </c>
    </row>
    <row r="15" spans="1:13" s="115" customFormat="1" ht="12.75" x14ac:dyDescent="0.2">
      <c r="A15" s="115" t="s">
        <v>524</v>
      </c>
      <c r="B15" s="115" t="s">
        <v>33</v>
      </c>
      <c r="D15" s="117">
        <v>0</v>
      </c>
      <c r="E15" s="117">
        <v>0</v>
      </c>
      <c r="F15" s="118">
        <f t="shared" si="0"/>
        <v>0</v>
      </c>
      <c r="G15" s="118"/>
      <c r="H15" s="117">
        <v>0</v>
      </c>
      <c r="I15" s="117">
        <v>0</v>
      </c>
      <c r="J15" s="118">
        <f t="shared" si="1"/>
        <v>0</v>
      </c>
      <c r="M15" s="117">
        <v>0</v>
      </c>
    </row>
    <row r="16" spans="1:13" s="115" customFormat="1" ht="12.75" x14ac:dyDescent="0.2">
      <c r="A16" s="115" t="s">
        <v>525</v>
      </c>
      <c r="B16" s="115" t="s">
        <v>34</v>
      </c>
      <c r="D16" s="117">
        <v>0</v>
      </c>
      <c r="E16" s="117">
        <v>0</v>
      </c>
      <c r="F16" s="118">
        <f t="shared" si="0"/>
        <v>0</v>
      </c>
      <c r="G16" s="118"/>
      <c r="H16" s="117">
        <v>0</v>
      </c>
      <c r="I16" s="117">
        <v>0</v>
      </c>
      <c r="J16" s="118">
        <f t="shared" si="1"/>
        <v>0</v>
      </c>
      <c r="M16" s="117">
        <v>0</v>
      </c>
    </row>
    <row r="17" spans="1:13" s="115" customFormat="1" ht="12.75" x14ac:dyDescent="0.2">
      <c r="A17" s="115" t="s">
        <v>526</v>
      </c>
      <c r="B17" s="115" t="s">
        <v>35</v>
      </c>
      <c r="D17" s="117">
        <v>0</v>
      </c>
      <c r="E17" s="117">
        <v>0</v>
      </c>
      <c r="F17" s="118">
        <f t="shared" si="0"/>
        <v>0</v>
      </c>
      <c r="G17" s="118"/>
      <c r="H17" s="117">
        <v>0</v>
      </c>
      <c r="I17" s="117">
        <v>0</v>
      </c>
      <c r="J17" s="118">
        <f t="shared" si="1"/>
        <v>0</v>
      </c>
      <c r="M17" s="117">
        <v>0</v>
      </c>
    </row>
    <row r="18" spans="1:13" s="115" customFormat="1" ht="12.75" x14ac:dyDescent="0.2">
      <c r="A18" s="115" t="s">
        <v>528</v>
      </c>
      <c r="B18" s="115" t="s">
        <v>36</v>
      </c>
      <c r="D18" s="117">
        <v>0</v>
      </c>
      <c r="E18" s="117">
        <v>0</v>
      </c>
      <c r="F18" s="118">
        <f t="shared" si="0"/>
        <v>0</v>
      </c>
      <c r="G18" s="118"/>
      <c r="H18" s="117">
        <v>0</v>
      </c>
      <c r="I18" s="117">
        <v>0</v>
      </c>
      <c r="J18" s="118">
        <f t="shared" si="1"/>
        <v>0</v>
      </c>
      <c r="M18" s="117">
        <v>0</v>
      </c>
    </row>
    <row r="19" spans="1:13" s="115" customFormat="1" ht="12.75" x14ac:dyDescent="0.2">
      <c r="A19" s="115" t="s">
        <v>529</v>
      </c>
      <c r="B19" s="115" t="s">
        <v>37</v>
      </c>
      <c r="D19" s="117">
        <v>0</v>
      </c>
      <c r="E19" s="117">
        <v>0</v>
      </c>
      <c r="F19" s="118">
        <f t="shared" si="0"/>
        <v>0</v>
      </c>
      <c r="G19" s="118"/>
      <c r="H19" s="117">
        <v>0</v>
      </c>
      <c r="I19" s="117">
        <v>0</v>
      </c>
      <c r="J19" s="118">
        <f t="shared" si="1"/>
        <v>0</v>
      </c>
      <c r="M19" s="117">
        <v>0</v>
      </c>
    </row>
    <row r="20" spans="1:13" s="115" customFormat="1" ht="12.75" x14ac:dyDescent="0.2">
      <c r="A20" s="115" t="s">
        <v>530</v>
      </c>
      <c r="B20" s="115" t="s">
        <v>38</v>
      </c>
      <c r="D20" s="117">
        <v>0</v>
      </c>
      <c r="E20" s="117">
        <v>0</v>
      </c>
      <c r="F20" s="118">
        <f t="shared" si="0"/>
        <v>0</v>
      </c>
      <c r="G20" s="118"/>
      <c r="H20" s="117">
        <v>0</v>
      </c>
      <c r="I20" s="117">
        <v>0</v>
      </c>
      <c r="J20" s="118">
        <f t="shared" si="1"/>
        <v>0</v>
      </c>
      <c r="M20" s="117">
        <v>0</v>
      </c>
    </row>
    <row r="21" spans="1:13" s="115" customFormat="1" ht="12.75" x14ac:dyDescent="0.2">
      <c r="A21" s="115" t="s">
        <v>531</v>
      </c>
      <c r="B21" s="115" t="s">
        <v>39</v>
      </c>
      <c r="D21" s="117">
        <v>0</v>
      </c>
      <c r="E21" s="117">
        <v>0</v>
      </c>
      <c r="F21" s="118">
        <f t="shared" si="0"/>
        <v>0</v>
      </c>
      <c r="G21" s="118"/>
      <c r="H21" s="117">
        <v>0</v>
      </c>
      <c r="I21" s="117">
        <v>0</v>
      </c>
      <c r="J21" s="118">
        <f t="shared" si="1"/>
        <v>0</v>
      </c>
      <c r="M21" s="117">
        <v>0</v>
      </c>
    </row>
    <row r="22" spans="1:13" s="115" customFormat="1" ht="12.75" x14ac:dyDescent="0.2">
      <c r="A22" s="115" t="s">
        <v>532</v>
      </c>
      <c r="B22" s="115" t="s">
        <v>40</v>
      </c>
      <c r="D22" s="117">
        <v>0</v>
      </c>
      <c r="E22" s="117">
        <v>0</v>
      </c>
      <c r="F22" s="118">
        <f t="shared" si="0"/>
        <v>0</v>
      </c>
      <c r="G22" s="118"/>
      <c r="H22" s="117">
        <v>0</v>
      </c>
      <c r="I22" s="117">
        <v>0</v>
      </c>
      <c r="J22" s="118">
        <f t="shared" si="1"/>
        <v>0</v>
      </c>
      <c r="M22" s="117">
        <v>0</v>
      </c>
    </row>
    <row r="23" spans="1:13" s="115" customFormat="1" ht="12.75" x14ac:dyDescent="0.2">
      <c r="A23" s="115" t="s">
        <v>533</v>
      </c>
      <c r="B23" s="115" t="s">
        <v>41</v>
      </c>
      <c r="D23" s="117">
        <v>0</v>
      </c>
      <c r="E23" s="117">
        <v>0</v>
      </c>
      <c r="F23" s="118">
        <f t="shared" si="0"/>
        <v>0</v>
      </c>
      <c r="G23" s="118"/>
      <c r="H23" s="117">
        <v>0</v>
      </c>
      <c r="I23" s="117">
        <v>0</v>
      </c>
      <c r="J23" s="118">
        <f t="shared" si="1"/>
        <v>0</v>
      </c>
      <c r="M23" s="117">
        <v>0</v>
      </c>
    </row>
    <row r="24" spans="1:13" s="115" customFormat="1" ht="12.75" x14ac:dyDescent="0.2">
      <c r="A24" s="115" t="s">
        <v>534</v>
      </c>
      <c r="B24" s="115" t="s">
        <v>42</v>
      </c>
      <c r="D24" s="117">
        <v>0</v>
      </c>
      <c r="E24" s="117">
        <v>0</v>
      </c>
      <c r="F24" s="118">
        <f t="shared" si="0"/>
        <v>0</v>
      </c>
      <c r="G24" s="118"/>
      <c r="H24" s="117">
        <v>0</v>
      </c>
      <c r="I24" s="117">
        <v>0</v>
      </c>
      <c r="J24" s="118">
        <f t="shared" si="1"/>
        <v>0</v>
      </c>
      <c r="M24" s="117">
        <v>0</v>
      </c>
    </row>
    <row r="25" spans="1:13" s="115" customFormat="1" ht="12.75" x14ac:dyDescent="0.2">
      <c r="A25" s="115" t="s">
        <v>535</v>
      </c>
      <c r="B25" s="115" t="s">
        <v>43</v>
      </c>
      <c r="D25" s="117">
        <v>0</v>
      </c>
      <c r="E25" s="117">
        <v>0</v>
      </c>
      <c r="F25" s="118">
        <f t="shared" si="0"/>
        <v>0</v>
      </c>
      <c r="G25" s="118"/>
      <c r="H25" s="117">
        <v>0</v>
      </c>
      <c r="I25" s="117">
        <v>0</v>
      </c>
      <c r="J25" s="118">
        <f t="shared" si="1"/>
        <v>0</v>
      </c>
      <c r="M25" s="117">
        <v>0</v>
      </c>
    </row>
    <row r="26" spans="1:13" s="115" customFormat="1" ht="12.75" x14ac:dyDescent="0.2">
      <c r="A26" s="115" t="s">
        <v>536</v>
      </c>
      <c r="B26" s="115" t="s">
        <v>44</v>
      </c>
      <c r="D26" s="117">
        <v>0</v>
      </c>
      <c r="E26" s="117">
        <v>0</v>
      </c>
      <c r="F26" s="118">
        <f t="shared" si="0"/>
        <v>0</v>
      </c>
      <c r="G26" s="118"/>
      <c r="H26" s="117">
        <v>0</v>
      </c>
      <c r="I26" s="117">
        <v>0</v>
      </c>
      <c r="J26" s="118">
        <f t="shared" si="1"/>
        <v>0</v>
      </c>
      <c r="M26" s="117">
        <v>0</v>
      </c>
    </row>
    <row r="27" spans="1:13" s="115" customFormat="1" ht="12.75" x14ac:dyDescent="0.2">
      <c r="D27" s="207"/>
      <c r="E27" s="207"/>
      <c r="F27" s="118"/>
      <c r="G27" s="119"/>
      <c r="H27" s="207"/>
      <c r="I27" s="207"/>
      <c r="J27" s="118"/>
      <c r="M27" s="207"/>
    </row>
    <row r="28" spans="1:13" s="115" customFormat="1" ht="12.75" x14ac:dyDescent="0.2">
      <c r="A28" s="116" t="s">
        <v>45</v>
      </c>
      <c r="B28" s="115" t="s">
        <v>27</v>
      </c>
      <c r="C28" s="116"/>
      <c r="D28" s="117">
        <v>0</v>
      </c>
      <c r="E28" s="117">
        <v>0</v>
      </c>
      <c r="F28" s="118">
        <f t="shared" si="0"/>
        <v>0</v>
      </c>
      <c r="G28" s="118"/>
      <c r="H28" s="117">
        <v>0</v>
      </c>
      <c r="I28" s="117">
        <v>0</v>
      </c>
      <c r="J28" s="118">
        <f t="shared" si="1"/>
        <v>0</v>
      </c>
      <c r="M28" s="117">
        <v>0</v>
      </c>
    </row>
    <row r="29" spans="1:13" s="115" customFormat="1" ht="12.75" x14ac:dyDescent="0.2">
      <c r="A29" s="115" t="s">
        <v>46</v>
      </c>
      <c r="B29" s="115" t="s">
        <v>28</v>
      </c>
      <c r="D29" s="117">
        <v>0</v>
      </c>
      <c r="E29" s="117">
        <v>0</v>
      </c>
      <c r="F29" s="118">
        <f t="shared" si="0"/>
        <v>0</v>
      </c>
      <c r="G29" s="118"/>
      <c r="H29" s="117">
        <v>0</v>
      </c>
      <c r="I29" s="117">
        <v>0</v>
      </c>
      <c r="J29" s="118">
        <f t="shared" si="1"/>
        <v>0</v>
      </c>
      <c r="M29" s="117">
        <v>0</v>
      </c>
    </row>
    <row r="30" spans="1:13" s="115" customFormat="1" ht="12.75" x14ac:dyDescent="0.2">
      <c r="A30" s="115" t="s">
        <v>47</v>
      </c>
      <c r="B30" s="115" t="s">
        <v>29</v>
      </c>
      <c r="D30" s="117">
        <v>0</v>
      </c>
      <c r="E30" s="117">
        <v>0</v>
      </c>
      <c r="F30" s="118">
        <f t="shared" si="0"/>
        <v>0</v>
      </c>
      <c r="G30" s="118"/>
      <c r="H30" s="117">
        <v>0</v>
      </c>
      <c r="I30" s="117">
        <v>0</v>
      </c>
      <c r="J30" s="118">
        <f t="shared" si="1"/>
        <v>0</v>
      </c>
      <c r="M30" s="117">
        <v>0</v>
      </c>
    </row>
    <row r="31" spans="1:13" s="115" customFormat="1" ht="12.75" x14ac:dyDescent="0.2">
      <c r="A31" s="116" t="s">
        <v>48</v>
      </c>
      <c r="B31" s="115" t="s">
        <v>30</v>
      </c>
      <c r="C31" s="116"/>
      <c r="D31" s="117">
        <v>0</v>
      </c>
      <c r="E31" s="117">
        <v>0</v>
      </c>
      <c r="F31" s="118">
        <f t="shared" si="0"/>
        <v>0</v>
      </c>
      <c r="G31" s="118"/>
      <c r="H31" s="117">
        <v>0</v>
      </c>
      <c r="I31" s="117">
        <v>0</v>
      </c>
      <c r="J31" s="118">
        <f t="shared" si="1"/>
        <v>0</v>
      </c>
      <c r="M31" s="117">
        <v>0</v>
      </c>
    </row>
    <row r="32" spans="1:13" s="115" customFormat="1" ht="12.75" x14ac:dyDescent="0.2">
      <c r="A32" s="115" t="s">
        <v>49</v>
      </c>
      <c r="B32" s="115" t="s">
        <v>31</v>
      </c>
      <c r="D32" s="117">
        <v>0</v>
      </c>
      <c r="E32" s="117">
        <v>0</v>
      </c>
      <c r="F32" s="118">
        <f t="shared" si="0"/>
        <v>0</v>
      </c>
      <c r="G32" s="118"/>
      <c r="H32" s="117">
        <v>0</v>
      </c>
      <c r="I32" s="117">
        <v>0</v>
      </c>
      <c r="J32" s="118">
        <f t="shared" si="1"/>
        <v>0</v>
      </c>
      <c r="M32" s="117">
        <v>0</v>
      </c>
    </row>
    <row r="33" spans="1:13" s="115" customFormat="1" ht="12.75" x14ac:dyDescent="0.2">
      <c r="A33" s="115" t="s">
        <v>50</v>
      </c>
      <c r="B33" s="115" t="s">
        <v>32</v>
      </c>
      <c r="D33" s="117">
        <v>0</v>
      </c>
      <c r="E33" s="117">
        <v>0</v>
      </c>
      <c r="F33" s="118">
        <f t="shared" si="0"/>
        <v>0</v>
      </c>
      <c r="G33" s="118"/>
      <c r="H33" s="117">
        <v>0</v>
      </c>
      <c r="I33" s="117">
        <v>0</v>
      </c>
      <c r="J33" s="118">
        <f t="shared" si="1"/>
        <v>0</v>
      </c>
      <c r="M33" s="117">
        <v>0</v>
      </c>
    </row>
    <row r="34" spans="1:13" s="115" customFormat="1" ht="12.75" x14ac:dyDescent="0.2">
      <c r="A34" s="115" t="s">
        <v>51</v>
      </c>
      <c r="B34" s="115" t="s">
        <v>33</v>
      </c>
      <c r="D34" s="117">
        <v>0</v>
      </c>
      <c r="E34" s="117">
        <v>0</v>
      </c>
      <c r="F34" s="118">
        <f t="shared" si="0"/>
        <v>0</v>
      </c>
      <c r="G34" s="118"/>
      <c r="H34" s="117">
        <v>0</v>
      </c>
      <c r="I34" s="117">
        <v>0</v>
      </c>
      <c r="J34" s="118">
        <f t="shared" si="1"/>
        <v>0</v>
      </c>
      <c r="M34" s="117">
        <v>0</v>
      </c>
    </row>
    <row r="35" spans="1:13" s="115" customFormat="1" ht="12.75" x14ac:dyDescent="0.2">
      <c r="A35" s="115" t="s">
        <v>52</v>
      </c>
      <c r="B35" s="115" t="s">
        <v>34</v>
      </c>
      <c r="D35" s="117">
        <v>0</v>
      </c>
      <c r="E35" s="117">
        <v>0</v>
      </c>
      <c r="F35" s="118">
        <f t="shared" si="0"/>
        <v>0</v>
      </c>
      <c r="G35" s="118"/>
      <c r="H35" s="117">
        <v>0</v>
      </c>
      <c r="I35" s="117">
        <v>0</v>
      </c>
      <c r="J35" s="118">
        <f t="shared" si="1"/>
        <v>0</v>
      </c>
      <c r="M35" s="117">
        <v>0</v>
      </c>
    </row>
    <row r="36" spans="1:13" s="115" customFormat="1" ht="12.75" x14ac:dyDescent="0.2">
      <c r="A36" s="115" t="s">
        <v>53</v>
      </c>
      <c r="B36" s="115" t="s">
        <v>35</v>
      </c>
      <c r="D36" s="117">
        <v>0</v>
      </c>
      <c r="E36" s="117">
        <v>0</v>
      </c>
      <c r="F36" s="118">
        <f t="shared" si="0"/>
        <v>0</v>
      </c>
      <c r="G36" s="118"/>
      <c r="H36" s="117">
        <v>0</v>
      </c>
      <c r="I36" s="117">
        <v>0</v>
      </c>
      <c r="J36" s="118">
        <f t="shared" si="1"/>
        <v>0</v>
      </c>
      <c r="M36" s="117">
        <v>0</v>
      </c>
    </row>
    <row r="37" spans="1:13" s="115" customFormat="1" ht="12.75" x14ac:dyDescent="0.2">
      <c r="A37" s="115" t="s">
        <v>54</v>
      </c>
      <c r="B37" s="115" t="s">
        <v>36</v>
      </c>
      <c r="D37" s="117">
        <v>0</v>
      </c>
      <c r="E37" s="117">
        <v>0</v>
      </c>
      <c r="F37" s="118">
        <f t="shared" si="0"/>
        <v>0</v>
      </c>
      <c r="G37" s="118"/>
      <c r="H37" s="117">
        <v>0</v>
      </c>
      <c r="I37" s="117">
        <v>0</v>
      </c>
      <c r="J37" s="118">
        <f t="shared" si="1"/>
        <v>0</v>
      </c>
      <c r="M37" s="117">
        <v>0</v>
      </c>
    </row>
    <row r="38" spans="1:13" s="115" customFormat="1" ht="12.75" x14ac:dyDescent="0.2">
      <c r="A38" s="115" t="s">
        <v>55</v>
      </c>
      <c r="B38" s="115" t="s">
        <v>37</v>
      </c>
      <c r="D38" s="117">
        <v>0</v>
      </c>
      <c r="E38" s="117">
        <v>0</v>
      </c>
      <c r="F38" s="118">
        <f t="shared" si="0"/>
        <v>0</v>
      </c>
      <c r="G38" s="118"/>
      <c r="H38" s="117">
        <v>0</v>
      </c>
      <c r="I38" s="117">
        <v>0</v>
      </c>
      <c r="J38" s="118">
        <f t="shared" si="1"/>
        <v>0</v>
      </c>
      <c r="M38" s="117">
        <v>0</v>
      </c>
    </row>
    <row r="39" spans="1:13" s="115" customFormat="1" ht="12.75" x14ac:dyDescent="0.2">
      <c r="A39" s="115" t="s">
        <v>56</v>
      </c>
      <c r="B39" s="115" t="s">
        <v>38</v>
      </c>
      <c r="D39" s="117">
        <v>0</v>
      </c>
      <c r="E39" s="117">
        <v>0</v>
      </c>
      <c r="F39" s="118">
        <f t="shared" si="0"/>
        <v>0</v>
      </c>
      <c r="G39" s="118"/>
      <c r="H39" s="117">
        <v>0</v>
      </c>
      <c r="I39" s="117">
        <v>0</v>
      </c>
      <c r="J39" s="118">
        <f t="shared" si="1"/>
        <v>0</v>
      </c>
      <c r="M39" s="117">
        <v>0</v>
      </c>
    </row>
    <row r="40" spans="1:13" s="115" customFormat="1" ht="12.75" x14ac:dyDescent="0.2">
      <c r="A40" s="115" t="s">
        <v>57</v>
      </c>
      <c r="B40" s="115" t="s">
        <v>39</v>
      </c>
      <c r="D40" s="117">
        <v>0</v>
      </c>
      <c r="E40" s="117">
        <v>0</v>
      </c>
      <c r="F40" s="118">
        <f t="shared" si="0"/>
        <v>0</v>
      </c>
      <c r="G40" s="118"/>
      <c r="H40" s="117">
        <v>0</v>
      </c>
      <c r="I40" s="117">
        <v>0</v>
      </c>
      <c r="J40" s="118">
        <f t="shared" si="1"/>
        <v>0</v>
      </c>
      <c r="M40" s="117">
        <v>0</v>
      </c>
    </row>
    <row r="41" spans="1:13" s="115" customFormat="1" ht="12.75" x14ac:dyDescent="0.2">
      <c r="A41" s="115" t="s">
        <v>58</v>
      </c>
      <c r="B41" s="115" t="s">
        <v>40</v>
      </c>
      <c r="D41" s="117">
        <v>0</v>
      </c>
      <c r="E41" s="117">
        <v>0</v>
      </c>
      <c r="F41" s="118">
        <f t="shared" si="0"/>
        <v>0</v>
      </c>
      <c r="G41" s="118"/>
      <c r="H41" s="117">
        <v>0</v>
      </c>
      <c r="I41" s="117">
        <v>0</v>
      </c>
      <c r="J41" s="118">
        <f t="shared" si="1"/>
        <v>0</v>
      </c>
      <c r="M41" s="117">
        <v>0</v>
      </c>
    </row>
    <row r="42" spans="1:13" s="115" customFormat="1" ht="12.75" x14ac:dyDescent="0.2">
      <c r="A42" s="115" t="s">
        <v>59</v>
      </c>
      <c r="B42" s="115" t="s">
        <v>41</v>
      </c>
      <c r="D42" s="117">
        <v>0</v>
      </c>
      <c r="E42" s="117">
        <v>0</v>
      </c>
      <c r="F42" s="118">
        <f t="shared" si="0"/>
        <v>0</v>
      </c>
      <c r="G42" s="118"/>
      <c r="H42" s="117">
        <v>0</v>
      </c>
      <c r="I42" s="117">
        <v>0</v>
      </c>
      <c r="J42" s="118">
        <f t="shared" si="1"/>
        <v>0</v>
      </c>
      <c r="M42" s="117">
        <v>0</v>
      </c>
    </row>
    <row r="43" spans="1:13" s="115" customFormat="1" ht="12.75" x14ac:dyDescent="0.2">
      <c r="A43" s="115" t="s">
        <v>60</v>
      </c>
      <c r="B43" s="115" t="s">
        <v>42</v>
      </c>
      <c r="D43" s="117">
        <v>0</v>
      </c>
      <c r="E43" s="117">
        <v>0</v>
      </c>
      <c r="F43" s="118">
        <f t="shared" si="0"/>
        <v>0</v>
      </c>
      <c r="G43" s="118"/>
      <c r="H43" s="117">
        <v>0</v>
      </c>
      <c r="I43" s="117">
        <v>0</v>
      </c>
      <c r="J43" s="118">
        <f t="shared" si="1"/>
        <v>0</v>
      </c>
      <c r="M43" s="117">
        <v>0</v>
      </c>
    </row>
    <row r="44" spans="1:13" s="115" customFormat="1" ht="12.75" x14ac:dyDescent="0.2">
      <c r="A44" s="115" t="s">
        <v>61</v>
      </c>
      <c r="B44" s="115" t="s">
        <v>43</v>
      </c>
      <c r="D44" s="117">
        <v>0</v>
      </c>
      <c r="E44" s="117">
        <v>0</v>
      </c>
      <c r="F44" s="118">
        <f t="shared" si="0"/>
        <v>0</v>
      </c>
      <c r="G44" s="118"/>
      <c r="H44" s="117">
        <v>0</v>
      </c>
      <c r="I44" s="117">
        <v>0</v>
      </c>
      <c r="J44" s="118">
        <f t="shared" si="1"/>
        <v>0</v>
      </c>
      <c r="M44" s="117">
        <v>0</v>
      </c>
    </row>
    <row r="45" spans="1:13" s="115" customFormat="1" ht="12.75" x14ac:dyDescent="0.2">
      <c r="A45" s="115" t="s">
        <v>62</v>
      </c>
      <c r="B45" s="115" t="s">
        <v>44</v>
      </c>
      <c r="D45" s="117">
        <v>0</v>
      </c>
      <c r="E45" s="117">
        <v>0</v>
      </c>
      <c r="F45" s="118">
        <f t="shared" si="0"/>
        <v>0</v>
      </c>
      <c r="G45" s="118"/>
      <c r="H45" s="117">
        <v>0</v>
      </c>
      <c r="I45" s="117">
        <v>0</v>
      </c>
      <c r="J45" s="118">
        <f t="shared" si="1"/>
        <v>0</v>
      </c>
      <c r="M45" s="117">
        <v>0</v>
      </c>
    </row>
    <row r="46" spans="1:13" s="115" customFormat="1" ht="12.75" x14ac:dyDescent="0.2">
      <c r="D46" s="207"/>
      <c r="E46" s="207"/>
      <c r="F46" s="119"/>
      <c r="G46" s="119"/>
      <c r="H46" s="207"/>
      <c r="I46" s="207"/>
      <c r="J46" s="119"/>
      <c r="M46" s="207"/>
    </row>
    <row r="47" spans="1:13" s="115" customFormat="1" ht="12.75" x14ac:dyDescent="0.2">
      <c r="A47" s="116" t="s">
        <v>482</v>
      </c>
      <c r="B47" s="115" t="s">
        <v>27</v>
      </c>
      <c r="D47" s="117">
        <v>0</v>
      </c>
      <c r="E47" s="117">
        <v>0</v>
      </c>
      <c r="F47" s="118">
        <f t="shared" ref="F47:F64" si="2">SUM(D47:E47)</f>
        <v>0</v>
      </c>
      <c r="G47" s="118"/>
      <c r="H47" s="117">
        <v>0</v>
      </c>
      <c r="I47" s="117">
        <v>0</v>
      </c>
      <c r="J47" s="118">
        <f t="shared" ref="J47:J64" si="3">SUM(H47:I47)</f>
        <v>0</v>
      </c>
      <c r="M47" s="117">
        <v>0</v>
      </c>
    </row>
    <row r="48" spans="1:13" s="115" customFormat="1" ht="12.75" x14ac:dyDescent="0.2">
      <c r="A48" s="115" t="s">
        <v>483</v>
      </c>
      <c r="B48" s="115" t="s">
        <v>28</v>
      </c>
      <c r="D48" s="117">
        <v>0</v>
      </c>
      <c r="E48" s="117">
        <v>0</v>
      </c>
      <c r="F48" s="118">
        <f t="shared" si="2"/>
        <v>0</v>
      </c>
      <c r="G48" s="118"/>
      <c r="H48" s="117">
        <v>0</v>
      </c>
      <c r="I48" s="117">
        <v>0</v>
      </c>
      <c r="J48" s="118">
        <f t="shared" si="3"/>
        <v>0</v>
      </c>
      <c r="M48" s="117">
        <v>0</v>
      </c>
    </row>
    <row r="49" spans="1:13" s="115" customFormat="1" ht="12.75" x14ac:dyDescent="0.2">
      <c r="A49" s="115" t="s">
        <v>484</v>
      </c>
      <c r="B49" s="115" t="s">
        <v>29</v>
      </c>
      <c r="D49" s="117">
        <v>0</v>
      </c>
      <c r="E49" s="117">
        <v>0</v>
      </c>
      <c r="F49" s="118">
        <f t="shared" si="2"/>
        <v>0</v>
      </c>
      <c r="G49" s="118"/>
      <c r="H49" s="117">
        <v>0</v>
      </c>
      <c r="I49" s="117">
        <v>0</v>
      </c>
      <c r="J49" s="118">
        <f t="shared" si="3"/>
        <v>0</v>
      </c>
      <c r="M49" s="117">
        <v>0</v>
      </c>
    </row>
    <row r="50" spans="1:13" s="115" customFormat="1" ht="12.75" x14ac:dyDescent="0.2">
      <c r="A50" s="116" t="s">
        <v>485</v>
      </c>
      <c r="B50" s="115" t="s">
        <v>30</v>
      </c>
      <c r="D50" s="117">
        <v>0</v>
      </c>
      <c r="E50" s="117">
        <v>0</v>
      </c>
      <c r="F50" s="118">
        <f t="shared" si="2"/>
        <v>0</v>
      </c>
      <c r="G50" s="118"/>
      <c r="H50" s="117">
        <v>0</v>
      </c>
      <c r="I50" s="117">
        <v>0</v>
      </c>
      <c r="J50" s="118">
        <f t="shared" si="3"/>
        <v>0</v>
      </c>
      <c r="M50" s="117">
        <v>0</v>
      </c>
    </row>
    <row r="51" spans="1:13" s="115" customFormat="1" ht="12.75" x14ac:dyDescent="0.2">
      <c r="A51" s="115" t="s">
        <v>486</v>
      </c>
      <c r="B51" s="115" t="s">
        <v>31</v>
      </c>
      <c r="D51" s="117">
        <v>0</v>
      </c>
      <c r="E51" s="117">
        <v>0</v>
      </c>
      <c r="F51" s="118">
        <f t="shared" si="2"/>
        <v>0</v>
      </c>
      <c r="G51" s="118"/>
      <c r="H51" s="117">
        <v>0</v>
      </c>
      <c r="I51" s="117">
        <v>0</v>
      </c>
      <c r="J51" s="118">
        <f t="shared" si="3"/>
        <v>0</v>
      </c>
      <c r="M51" s="117">
        <v>0</v>
      </c>
    </row>
    <row r="52" spans="1:13" s="115" customFormat="1" ht="12.75" x14ac:dyDescent="0.2">
      <c r="A52" s="115" t="s">
        <v>487</v>
      </c>
      <c r="B52" s="115" t="s">
        <v>32</v>
      </c>
      <c r="D52" s="117">
        <v>0</v>
      </c>
      <c r="E52" s="117">
        <v>0</v>
      </c>
      <c r="F52" s="118">
        <f t="shared" si="2"/>
        <v>0</v>
      </c>
      <c r="G52" s="118"/>
      <c r="H52" s="117">
        <v>0</v>
      </c>
      <c r="I52" s="117">
        <v>0</v>
      </c>
      <c r="J52" s="118">
        <f t="shared" si="3"/>
        <v>0</v>
      </c>
      <c r="M52" s="117">
        <v>0</v>
      </c>
    </row>
    <row r="53" spans="1:13" s="115" customFormat="1" ht="12.75" x14ac:dyDescent="0.2">
      <c r="A53" s="115" t="s">
        <v>488</v>
      </c>
      <c r="B53" s="115" t="s">
        <v>33</v>
      </c>
      <c r="D53" s="117">
        <v>0</v>
      </c>
      <c r="E53" s="117">
        <v>0</v>
      </c>
      <c r="F53" s="118">
        <f t="shared" si="2"/>
        <v>0</v>
      </c>
      <c r="G53" s="118"/>
      <c r="H53" s="117">
        <v>0</v>
      </c>
      <c r="I53" s="117">
        <v>0</v>
      </c>
      <c r="J53" s="118">
        <f t="shared" si="3"/>
        <v>0</v>
      </c>
      <c r="M53" s="117">
        <v>0</v>
      </c>
    </row>
    <row r="54" spans="1:13" s="115" customFormat="1" ht="12.75" x14ac:dyDescent="0.2">
      <c r="A54" s="115" t="s">
        <v>489</v>
      </c>
      <c r="B54" s="115" t="s">
        <v>34</v>
      </c>
      <c r="D54" s="117">
        <v>0</v>
      </c>
      <c r="E54" s="117">
        <v>0</v>
      </c>
      <c r="F54" s="118">
        <f t="shared" si="2"/>
        <v>0</v>
      </c>
      <c r="G54" s="118"/>
      <c r="H54" s="117">
        <v>0</v>
      </c>
      <c r="I54" s="117">
        <v>0</v>
      </c>
      <c r="J54" s="118">
        <f t="shared" si="3"/>
        <v>0</v>
      </c>
      <c r="M54" s="117">
        <v>0</v>
      </c>
    </row>
    <row r="55" spans="1:13" s="115" customFormat="1" ht="12.75" x14ac:dyDescent="0.2">
      <c r="A55" s="115" t="s">
        <v>490</v>
      </c>
      <c r="B55" s="115" t="s">
        <v>35</v>
      </c>
      <c r="D55" s="117">
        <v>0</v>
      </c>
      <c r="E55" s="117">
        <v>0</v>
      </c>
      <c r="F55" s="118">
        <f t="shared" si="2"/>
        <v>0</v>
      </c>
      <c r="G55" s="118"/>
      <c r="H55" s="117">
        <v>0</v>
      </c>
      <c r="I55" s="117">
        <v>0</v>
      </c>
      <c r="J55" s="118">
        <f t="shared" si="3"/>
        <v>0</v>
      </c>
      <c r="M55" s="117">
        <v>0</v>
      </c>
    </row>
    <row r="56" spans="1:13" s="115" customFormat="1" ht="12.75" x14ac:dyDescent="0.2">
      <c r="A56" s="115" t="s">
        <v>491</v>
      </c>
      <c r="B56" s="115" t="s">
        <v>36</v>
      </c>
      <c r="D56" s="117">
        <v>0</v>
      </c>
      <c r="E56" s="117">
        <v>0</v>
      </c>
      <c r="F56" s="118">
        <f t="shared" si="2"/>
        <v>0</v>
      </c>
      <c r="G56" s="118"/>
      <c r="H56" s="117">
        <v>0</v>
      </c>
      <c r="I56" s="117">
        <v>0</v>
      </c>
      <c r="J56" s="118">
        <f t="shared" si="3"/>
        <v>0</v>
      </c>
      <c r="M56" s="117">
        <v>0</v>
      </c>
    </row>
    <row r="57" spans="1:13" s="115" customFormat="1" ht="12.75" x14ac:dyDescent="0.2">
      <c r="A57" s="115" t="s">
        <v>492</v>
      </c>
      <c r="B57" s="115" t="s">
        <v>37</v>
      </c>
      <c r="D57" s="117">
        <v>0</v>
      </c>
      <c r="E57" s="117">
        <v>0</v>
      </c>
      <c r="F57" s="118">
        <f t="shared" si="2"/>
        <v>0</v>
      </c>
      <c r="G57" s="118"/>
      <c r="H57" s="117">
        <v>0</v>
      </c>
      <c r="I57" s="117">
        <v>0</v>
      </c>
      <c r="J57" s="118">
        <f t="shared" si="3"/>
        <v>0</v>
      </c>
      <c r="M57" s="117">
        <v>0</v>
      </c>
    </row>
    <row r="58" spans="1:13" s="115" customFormat="1" ht="12.75" x14ac:dyDescent="0.2">
      <c r="A58" s="115" t="s">
        <v>493</v>
      </c>
      <c r="B58" s="115" t="s">
        <v>38</v>
      </c>
      <c r="D58" s="117">
        <v>0</v>
      </c>
      <c r="E58" s="117">
        <v>0</v>
      </c>
      <c r="F58" s="118">
        <f t="shared" si="2"/>
        <v>0</v>
      </c>
      <c r="G58" s="118"/>
      <c r="H58" s="117">
        <v>0</v>
      </c>
      <c r="I58" s="117">
        <v>0</v>
      </c>
      <c r="J58" s="118">
        <f t="shared" si="3"/>
        <v>0</v>
      </c>
      <c r="M58" s="117">
        <v>0</v>
      </c>
    </row>
    <row r="59" spans="1:13" s="115" customFormat="1" ht="12.75" x14ac:dyDescent="0.2">
      <c r="A59" s="115" t="s">
        <v>494</v>
      </c>
      <c r="B59" s="115" t="s">
        <v>39</v>
      </c>
      <c r="D59" s="117">
        <v>0</v>
      </c>
      <c r="E59" s="117">
        <v>0</v>
      </c>
      <c r="F59" s="118">
        <f t="shared" si="2"/>
        <v>0</v>
      </c>
      <c r="G59" s="118"/>
      <c r="H59" s="117">
        <v>0</v>
      </c>
      <c r="I59" s="117">
        <v>0</v>
      </c>
      <c r="J59" s="118">
        <f t="shared" si="3"/>
        <v>0</v>
      </c>
      <c r="M59" s="117">
        <v>0</v>
      </c>
    </row>
    <row r="60" spans="1:13" s="115" customFormat="1" ht="12.75" x14ac:dyDescent="0.2">
      <c r="A60" s="115" t="s">
        <v>495</v>
      </c>
      <c r="B60" s="115" t="s">
        <v>40</v>
      </c>
      <c r="D60" s="117">
        <v>0</v>
      </c>
      <c r="E60" s="117">
        <v>0</v>
      </c>
      <c r="F60" s="118">
        <f t="shared" si="2"/>
        <v>0</v>
      </c>
      <c r="G60" s="118"/>
      <c r="H60" s="117">
        <v>0</v>
      </c>
      <c r="I60" s="117">
        <v>0</v>
      </c>
      <c r="J60" s="118">
        <f t="shared" si="3"/>
        <v>0</v>
      </c>
      <c r="M60" s="117">
        <v>0</v>
      </c>
    </row>
    <row r="61" spans="1:13" s="115" customFormat="1" ht="12.75" x14ac:dyDescent="0.2">
      <c r="A61" s="115" t="s">
        <v>496</v>
      </c>
      <c r="B61" s="115" t="s">
        <v>41</v>
      </c>
      <c r="D61" s="117">
        <v>0</v>
      </c>
      <c r="E61" s="117">
        <v>0</v>
      </c>
      <c r="F61" s="118">
        <f t="shared" si="2"/>
        <v>0</v>
      </c>
      <c r="G61" s="118"/>
      <c r="H61" s="117">
        <v>0</v>
      </c>
      <c r="I61" s="117">
        <v>0</v>
      </c>
      <c r="J61" s="118">
        <f t="shared" si="3"/>
        <v>0</v>
      </c>
      <c r="M61" s="117">
        <v>0</v>
      </c>
    </row>
    <row r="62" spans="1:13" s="115" customFormat="1" ht="12.75" x14ac:dyDescent="0.2">
      <c r="A62" s="115" t="s">
        <v>497</v>
      </c>
      <c r="B62" s="115" t="s">
        <v>42</v>
      </c>
      <c r="D62" s="117">
        <v>0</v>
      </c>
      <c r="E62" s="117">
        <v>0</v>
      </c>
      <c r="F62" s="118">
        <f t="shared" si="2"/>
        <v>0</v>
      </c>
      <c r="G62" s="118"/>
      <c r="H62" s="117">
        <v>0</v>
      </c>
      <c r="I62" s="117">
        <v>0</v>
      </c>
      <c r="J62" s="118">
        <f t="shared" si="3"/>
        <v>0</v>
      </c>
      <c r="M62" s="117">
        <v>0</v>
      </c>
    </row>
    <row r="63" spans="1:13" s="115" customFormat="1" ht="12.75" x14ac:dyDescent="0.2">
      <c r="A63" s="115" t="s">
        <v>498</v>
      </c>
      <c r="B63" s="115" t="s">
        <v>43</v>
      </c>
      <c r="D63" s="117">
        <v>0</v>
      </c>
      <c r="E63" s="117">
        <v>0</v>
      </c>
      <c r="F63" s="118">
        <f t="shared" si="2"/>
        <v>0</v>
      </c>
      <c r="G63" s="118"/>
      <c r="H63" s="117">
        <v>0</v>
      </c>
      <c r="I63" s="117">
        <v>0</v>
      </c>
      <c r="J63" s="118">
        <f t="shared" si="3"/>
        <v>0</v>
      </c>
      <c r="M63" s="117">
        <v>0</v>
      </c>
    </row>
    <row r="64" spans="1:13" s="115" customFormat="1" ht="12.75" x14ac:dyDescent="0.2">
      <c r="A64" s="115" t="s">
        <v>499</v>
      </c>
      <c r="B64" s="115" t="s">
        <v>44</v>
      </c>
      <c r="D64" s="117">
        <v>0</v>
      </c>
      <c r="E64" s="117">
        <v>0</v>
      </c>
      <c r="F64" s="118">
        <f t="shared" si="2"/>
        <v>0</v>
      </c>
      <c r="G64" s="118"/>
      <c r="H64" s="117">
        <v>0</v>
      </c>
      <c r="I64" s="117">
        <v>0</v>
      </c>
      <c r="J64" s="118">
        <f t="shared" si="3"/>
        <v>0</v>
      </c>
      <c r="M64" s="117">
        <v>0</v>
      </c>
    </row>
    <row r="65" spans="1:13" s="115" customFormat="1" ht="13.5" thickBot="1" x14ac:dyDescent="0.25">
      <c r="D65" s="51">
        <f>SUM(D9:D64)</f>
        <v>0</v>
      </c>
      <c r="E65" s="51">
        <f t="shared" ref="E65:F65" si="4">SUM(E9:E64)</f>
        <v>0</v>
      </c>
      <c r="F65" s="51">
        <f t="shared" si="4"/>
        <v>0</v>
      </c>
      <c r="H65" s="51">
        <f>SUM(H9:H64)</f>
        <v>0</v>
      </c>
      <c r="I65" s="51">
        <f t="shared" ref="I65:J65" si="5">SUM(I9:I64)</f>
        <v>0</v>
      </c>
      <c r="J65" s="51">
        <f t="shared" si="5"/>
        <v>0</v>
      </c>
      <c r="M65" s="51">
        <f>SUM(M9:M64)</f>
        <v>0</v>
      </c>
    </row>
    <row r="66" spans="1:13" s="115" customFormat="1" ht="13.5" thickTop="1" x14ac:dyDescent="0.2"/>
    <row r="67" spans="1:13" s="115" customFormat="1" ht="12.75" x14ac:dyDescent="0.2"/>
    <row r="68" spans="1:13" s="115" customFormat="1" ht="12.75" x14ac:dyDescent="0.2">
      <c r="A68" s="123" t="s">
        <v>63</v>
      </c>
      <c r="E68" s="485" t="s">
        <v>244</v>
      </c>
      <c r="F68" s="485"/>
      <c r="G68" s="122"/>
      <c r="H68" s="122"/>
      <c r="I68" s="485" t="s">
        <v>244</v>
      </c>
      <c r="J68" s="485"/>
      <c r="K68" s="122"/>
      <c r="L68" s="122"/>
      <c r="M68" s="125" t="s">
        <v>245</v>
      </c>
    </row>
    <row r="69" spans="1:13" s="115" customFormat="1" ht="12.75" x14ac:dyDescent="0.2">
      <c r="E69" s="124" t="str">
        <f>D6</f>
        <v>FY2023</v>
      </c>
      <c r="F69" s="124" t="s">
        <v>64</v>
      </c>
      <c r="G69" s="122"/>
      <c r="H69" s="122"/>
      <c r="I69" s="124" t="str">
        <f>H6</f>
        <v>FY2024</v>
      </c>
      <c r="J69" s="124" t="s">
        <v>64</v>
      </c>
      <c r="K69" s="122"/>
      <c r="L69" s="122"/>
      <c r="M69" s="124" t="str">
        <f>H6</f>
        <v>FY2024</v>
      </c>
    </row>
    <row r="70" spans="1:13" s="115" customFormat="1" ht="12.75" x14ac:dyDescent="0.2">
      <c r="A70" s="113" t="s">
        <v>65</v>
      </c>
      <c r="E70" s="49">
        <f>F9+F10+F11+F12+F13+F14+F15+F16+F28+F29+F30+F31+F32+F33+F34+F35+F47+F48+F49+F50+F51+F52+F53+F54</f>
        <v>0</v>
      </c>
      <c r="F70" s="50">
        <f>IF($E$81=0,0,E70/$E$81)</f>
        <v>0</v>
      </c>
      <c r="I70" s="49">
        <f>J9+J10+J11+J12+J13+J14+J15+J16+J28+J29+J30+J31+J32+J33+J34+J35+J47+J48+J49+J50+J51+J52+J53+J54</f>
        <v>0</v>
      </c>
      <c r="J70" s="50">
        <f>IF($I$81=0,0,I70/$I$81)</f>
        <v>0</v>
      </c>
      <c r="M70" s="49">
        <f>M9+M10+M11+M12+M13+M14+M15+M16+M28+M29+M30+M31+M32+M33+M34+M35+M47+M48+M49+M50+M51+M52+M53+M54</f>
        <v>0</v>
      </c>
    </row>
    <row r="71" spans="1:13" s="115" customFormat="1" ht="12.75" x14ac:dyDescent="0.2">
      <c r="A71" s="113" t="s">
        <v>66</v>
      </c>
      <c r="E71" s="49">
        <f>F17+F36+F55</f>
        <v>0</v>
      </c>
      <c r="F71" s="50">
        <f t="shared" ref="F71:F81" si="6">IF($E$81=0,0,E71/$E$81)</f>
        <v>0</v>
      </c>
      <c r="I71" s="49">
        <f>J17+J36+J55</f>
        <v>0</v>
      </c>
      <c r="J71" s="50">
        <f t="shared" ref="J71:J80" si="7">IF($I$81=0,0,I71/$I$81)</f>
        <v>0</v>
      </c>
      <c r="M71" s="49">
        <f>M17+M36+M55</f>
        <v>0</v>
      </c>
    </row>
    <row r="72" spans="1:13" s="115" customFormat="1" ht="12.75" x14ac:dyDescent="0.2">
      <c r="A72" s="113" t="s">
        <v>67</v>
      </c>
      <c r="E72" s="49">
        <f>F18+F37+F56</f>
        <v>0</v>
      </c>
      <c r="F72" s="50">
        <f t="shared" si="6"/>
        <v>0</v>
      </c>
      <c r="I72" s="49">
        <f t="shared" ref="I72:I80" si="8">J18+J37+J56</f>
        <v>0</v>
      </c>
      <c r="J72" s="50">
        <f t="shared" si="7"/>
        <v>0</v>
      </c>
      <c r="M72" s="49">
        <f t="shared" ref="M72:M80" si="9">M18+M37+M56</f>
        <v>0</v>
      </c>
    </row>
    <row r="73" spans="1:13" s="115" customFormat="1" ht="12.75" x14ac:dyDescent="0.2">
      <c r="A73" s="113" t="s">
        <v>68</v>
      </c>
      <c r="E73" s="49">
        <f>F19+F38+F57</f>
        <v>0</v>
      </c>
      <c r="F73" s="50">
        <f t="shared" si="6"/>
        <v>0</v>
      </c>
      <c r="I73" s="49">
        <f t="shared" si="8"/>
        <v>0</v>
      </c>
      <c r="J73" s="50">
        <f t="shared" si="7"/>
        <v>0</v>
      </c>
      <c r="M73" s="49">
        <f t="shared" si="9"/>
        <v>0</v>
      </c>
    </row>
    <row r="74" spans="1:13" s="115" customFormat="1" ht="12.75" x14ac:dyDescent="0.2">
      <c r="A74" s="113" t="s">
        <v>69</v>
      </c>
      <c r="E74" s="49">
        <f t="shared" ref="E74:E80" si="10">F20+F39+F58</f>
        <v>0</v>
      </c>
      <c r="F74" s="50">
        <f t="shared" si="6"/>
        <v>0</v>
      </c>
      <c r="I74" s="49">
        <f t="shared" si="8"/>
        <v>0</v>
      </c>
      <c r="J74" s="50">
        <f t="shared" si="7"/>
        <v>0</v>
      </c>
      <c r="M74" s="49">
        <f t="shared" si="9"/>
        <v>0</v>
      </c>
    </row>
    <row r="75" spans="1:13" s="115" customFormat="1" ht="12.75" x14ac:dyDescent="0.2">
      <c r="A75" s="113" t="s">
        <v>70</v>
      </c>
      <c r="E75" s="49">
        <f t="shared" si="10"/>
        <v>0</v>
      </c>
      <c r="F75" s="50">
        <f t="shared" si="6"/>
        <v>0</v>
      </c>
      <c r="I75" s="49">
        <f t="shared" si="8"/>
        <v>0</v>
      </c>
      <c r="J75" s="50">
        <f t="shared" si="7"/>
        <v>0</v>
      </c>
      <c r="M75" s="49">
        <f t="shared" si="9"/>
        <v>0</v>
      </c>
    </row>
    <row r="76" spans="1:13" s="115" customFormat="1" ht="12.75" x14ac:dyDescent="0.2">
      <c r="A76" s="113" t="s">
        <v>71</v>
      </c>
      <c r="E76" s="49">
        <f t="shared" si="10"/>
        <v>0</v>
      </c>
      <c r="F76" s="50">
        <f t="shared" si="6"/>
        <v>0</v>
      </c>
      <c r="I76" s="49">
        <f t="shared" si="8"/>
        <v>0</v>
      </c>
      <c r="J76" s="50">
        <f t="shared" si="7"/>
        <v>0</v>
      </c>
      <c r="M76" s="49">
        <f t="shared" si="9"/>
        <v>0</v>
      </c>
    </row>
    <row r="77" spans="1:13" s="115" customFormat="1" ht="12.75" x14ac:dyDescent="0.2">
      <c r="A77" s="113" t="s">
        <v>72</v>
      </c>
      <c r="E77" s="49">
        <f t="shared" si="10"/>
        <v>0</v>
      </c>
      <c r="F77" s="50">
        <f t="shared" si="6"/>
        <v>0</v>
      </c>
      <c r="I77" s="49">
        <f t="shared" si="8"/>
        <v>0</v>
      </c>
      <c r="J77" s="50">
        <f t="shared" si="7"/>
        <v>0</v>
      </c>
      <c r="M77" s="49">
        <f t="shared" si="9"/>
        <v>0</v>
      </c>
    </row>
    <row r="78" spans="1:13" s="115" customFormat="1" ht="12.75" x14ac:dyDescent="0.2">
      <c r="A78" s="113" t="s">
        <v>73</v>
      </c>
      <c r="E78" s="49">
        <f t="shared" si="10"/>
        <v>0</v>
      </c>
      <c r="F78" s="50">
        <f t="shared" si="6"/>
        <v>0</v>
      </c>
      <c r="I78" s="49">
        <f t="shared" si="8"/>
        <v>0</v>
      </c>
      <c r="J78" s="50">
        <f t="shared" si="7"/>
        <v>0</v>
      </c>
      <c r="M78" s="49">
        <f t="shared" si="9"/>
        <v>0</v>
      </c>
    </row>
    <row r="79" spans="1:13" s="115" customFormat="1" ht="12.75" x14ac:dyDescent="0.2">
      <c r="A79" s="113" t="s">
        <v>74</v>
      </c>
      <c r="E79" s="49">
        <f t="shared" si="10"/>
        <v>0</v>
      </c>
      <c r="F79" s="50">
        <f t="shared" si="6"/>
        <v>0</v>
      </c>
      <c r="I79" s="49">
        <f t="shared" si="8"/>
        <v>0</v>
      </c>
      <c r="J79" s="50">
        <f t="shared" si="7"/>
        <v>0</v>
      </c>
      <c r="M79" s="49">
        <f t="shared" si="9"/>
        <v>0</v>
      </c>
    </row>
    <row r="80" spans="1:13" s="115" customFormat="1" ht="12.75" x14ac:dyDescent="0.2">
      <c r="A80" s="113" t="s">
        <v>75</v>
      </c>
      <c r="E80" s="49">
        <f t="shared" si="10"/>
        <v>0</v>
      </c>
      <c r="F80" s="50">
        <f t="shared" si="6"/>
        <v>0</v>
      </c>
      <c r="I80" s="49">
        <f t="shared" si="8"/>
        <v>0</v>
      </c>
      <c r="J80" s="50">
        <f t="shared" si="7"/>
        <v>0</v>
      </c>
      <c r="M80" s="49">
        <f t="shared" si="9"/>
        <v>0</v>
      </c>
    </row>
    <row r="81" spans="1:14" s="115" customFormat="1" ht="13.5" thickBot="1" x14ac:dyDescent="0.25">
      <c r="E81" s="51">
        <f>SUM(E70:E80)</f>
        <v>0</v>
      </c>
      <c r="F81" s="52">
        <f t="shared" si="6"/>
        <v>0</v>
      </c>
      <c r="I81" s="51">
        <f>SUM(I70:I80)</f>
        <v>0</v>
      </c>
      <c r="J81" s="52">
        <f>IF($I$81=0,0,I81/$I$81)</f>
        <v>0</v>
      </c>
      <c r="M81" s="51">
        <f>SUM(M70:M80)</f>
        <v>0</v>
      </c>
    </row>
    <row r="82" spans="1:14" s="115" customFormat="1" ht="13.5" thickTop="1" x14ac:dyDescent="0.2"/>
    <row r="83" spans="1:14" s="115" customFormat="1" ht="13.5" thickBot="1" x14ac:dyDescent="0.25"/>
    <row r="84" spans="1:14" s="115" customFormat="1" ht="13.5" thickBot="1" x14ac:dyDescent="0.25">
      <c r="E84" s="481" t="s">
        <v>329</v>
      </c>
      <c r="F84" s="482"/>
      <c r="G84" s="482"/>
      <c r="H84" s="482"/>
      <c r="I84" s="482"/>
      <c r="J84" s="482"/>
      <c r="K84" s="482"/>
      <c r="L84" s="482"/>
      <c r="M84" s="483"/>
    </row>
    <row r="85" spans="1:14" s="115" customFormat="1" ht="12.75" x14ac:dyDescent="0.2"/>
    <row r="86" spans="1:14" s="115" customFormat="1" ht="12.75" x14ac:dyDescent="0.2">
      <c r="J86" s="124" t="s">
        <v>330</v>
      </c>
      <c r="M86" s="124" t="str">
        <f>H6</f>
        <v>FY2024</v>
      </c>
    </row>
    <row r="87" spans="1:14" s="115" customFormat="1" ht="12.75" x14ac:dyDescent="0.2">
      <c r="I87" s="128" t="s">
        <v>366</v>
      </c>
      <c r="J87" s="129" t="s">
        <v>331</v>
      </c>
      <c r="K87" s="143"/>
      <c r="L87" s="143"/>
      <c r="M87" s="117">
        <v>0</v>
      </c>
    </row>
    <row r="88" spans="1:14" s="115" customFormat="1" ht="12.75" x14ac:dyDescent="0.2">
      <c r="I88" s="128" t="s">
        <v>367</v>
      </c>
      <c r="J88" s="129" t="s">
        <v>332</v>
      </c>
      <c r="K88" s="143"/>
      <c r="L88" s="143"/>
      <c r="M88" s="117">
        <v>0</v>
      </c>
      <c r="N88" s="115" t="s">
        <v>333</v>
      </c>
    </row>
    <row r="89" spans="1:14" s="115" customFormat="1" ht="13.5" thickBot="1" x14ac:dyDescent="0.25">
      <c r="J89" s="143"/>
      <c r="K89" s="143"/>
      <c r="L89" s="143"/>
      <c r="M89" s="51">
        <f>SUM(M87:M88)</f>
        <v>0</v>
      </c>
    </row>
    <row r="90" spans="1:14" ht="15.75" thickTop="1" x14ac:dyDescent="0.2"/>
    <row r="91" spans="1:14" x14ac:dyDescent="0.2">
      <c r="A91" s="477" t="s">
        <v>550</v>
      </c>
      <c r="B91" s="477"/>
      <c r="C91" s="477"/>
      <c r="D91" s="477"/>
      <c r="E91" s="477"/>
      <c r="F91" s="477"/>
      <c r="G91" s="477"/>
      <c r="H91" s="477"/>
      <c r="I91" s="477"/>
      <c r="J91" s="477"/>
      <c r="K91" s="477"/>
      <c r="L91" s="477"/>
    </row>
    <row r="92" spans="1:14" x14ac:dyDescent="0.2">
      <c r="A92" s="477"/>
      <c r="B92" s="477"/>
      <c r="C92" s="477"/>
      <c r="D92" s="477"/>
      <c r="E92" s="477"/>
      <c r="F92" s="477"/>
      <c r="G92" s="477"/>
      <c r="H92" s="477"/>
      <c r="I92" s="477"/>
      <c r="J92" s="477"/>
      <c r="K92" s="477"/>
      <c r="L92" s="477"/>
    </row>
    <row r="93" spans="1:14" x14ac:dyDescent="0.2">
      <c r="A93" s="477"/>
      <c r="B93" s="477"/>
      <c r="C93" s="477"/>
      <c r="D93" s="477"/>
      <c r="E93" s="477"/>
      <c r="F93" s="477"/>
      <c r="G93" s="477"/>
      <c r="H93" s="477"/>
      <c r="I93" s="477"/>
      <c r="J93" s="477"/>
      <c r="K93" s="477"/>
      <c r="L93" s="477"/>
    </row>
    <row r="94" spans="1:14" x14ac:dyDescent="0.2">
      <c r="A94" s="477"/>
      <c r="B94" s="477"/>
      <c r="C94" s="477"/>
      <c r="D94" s="477"/>
      <c r="E94" s="477"/>
      <c r="F94" s="477"/>
      <c r="G94" s="477"/>
      <c r="H94" s="477"/>
      <c r="I94" s="477"/>
      <c r="J94" s="477"/>
      <c r="K94" s="477"/>
      <c r="L94" s="477"/>
    </row>
    <row r="95" spans="1:14" x14ac:dyDescent="0.2">
      <c r="A95" s="477"/>
      <c r="B95" s="477"/>
      <c r="C95" s="477"/>
      <c r="D95" s="477"/>
      <c r="E95" s="477"/>
      <c r="F95" s="477"/>
      <c r="G95" s="477"/>
      <c r="H95" s="477"/>
      <c r="I95" s="477"/>
      <c r="J95" s="477"/>
      <c r="K95" s="477"/>
      <c r="L95" s="477"/>
    </row>
  </sheetData>
  <sheetProtection algorithmName="SHA-512" hashValue="d455IAxrbE0tnNyetqmlnK1lB5SzyhR4IXMXHldbbJZXpaLT6HbrqrPfDg540S7Yti19+h05IuP6DC5oMrE8+g==" saltValue="4ISEklAxoHHoF65C0W4G9g==" spinCount="100000" sheet="1" objects="1" scenarios="1"/>
  <mergeCells count="7">
    <mergeCell ref="A91:L95"/>
    <mergeCell ref="H1:M1"/>
    <mergeCell ref="E84:M84"/>
    <mergeCell ref="D6:F6"/>
    <mergeCell ref="H6:J6"/>
    <mergeCell ref="I68:J68"/>
    <mergeCell ref="E68:F6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59999389629810485"/>
  </sheetPr>
  <dimension ref="A1:N76"/>
  <sheetViews>
    <sheetView workbookViewId="0">
      <pane xSplit="2" ySplit="8" topLeftCell="C9" activePane="bottomRight" state="frozenSplit"/>
      <selection pane="topRight" activeCell="C1" sqref="C1"/>
      <selection pane="bottomLeft" activeCell="A8" sqref="A8"/>
      <selection pane="bottomRight" activeCell="T15" sqref="T15"/>
    </sheetView>
  </sheetViews>
  <sheetFormatPr defaultColWidth="8.88671875" defaultRowHeight="15" x14ac:dyDescent="0.2"/>
  <cols>
    <col min="1" max="1" width="18" style="48" customWidth="1"/>
    <col min="2" max="2" width="23.33203125" style="48" customWidth="1"/>
    <col min="3" max="3" width="1.88671875" style="48" customWidth="1"/>
    <col min="4" max="6" width="8.77734375" style="48" bestFit="1" customWidth="1"/>
    <col min="7" max="7" width="1.5546875" style="48" customWidth="1"/>
    <col min="8" max="8" width="8" style="48" bestFit="1" customWidth="1"/>
    <col min="9" max="10" width="8.77734375" style="48" bestFit="1" customWidth="1"/>
    <col min="11" max="11" width="1.109375" style="48" customWidth="1"/>
    <col min="12" max="12" width="3.77734375" style="48" customWidth="1"/>
    <col min="13" max="13" width="8.77734375" style="48" bestFit="1" customWidth="1"/>
    <col min="14" max="16384" width="8.88671875" style="48"/>
  </cols>
  <sheetData>
    <row r="1" spans="1:13" ht="30.75" thickBot="1" x14ac:dyDescent="0.45">
      <c r="H1" s="478" t="s">
        <v>250</v>
      </c>
      <c r="I1" s="479"/>
      <c r="J1" s="479"/>
      <c r="K1" s="479"/>
      <c r="L1" s="479"/>
      <c r="M1" s="480"/>
    </row>
    <row r="2" spans="1:13" x14ac:dyDescent="0.2">
      <c r="A2" s="48" t="s">
        <v>460</v>
      </c>
    </row>
    <row r="3" spans="1:13" x14ac:dyDescent="0.2">
      <c r="A3" s="48" t="s">
        <v>22</v>
      </c>
    </row>
    <row r="4" spans="1:13" ht="18" x14ac:dyDescent="0.25">
      <c r="A4" s="20" t="s">
        <v>18</v>
      </c>
    </row>
    <row r="5" spans="1:13" ht="18" x14ac:dyDescent="0.25">
      <c r="A5" s="20" t="s">
        <v>461</v>
      </c>
    </row>
    <row r="6" spans="1:13" s="115" customFormat="1" ht="12.75" x14ac:dyDescent="0.2">
      <c r="A6" s="122"/>
      <c r="B6" s="122"/>
      <c r="C6" s="122"/>
      <c r="D6" s="484" t="str">
        <f>'Ret Contr Input - LEA'!D6:F6</f>
        <v>FY2023</v>
      </c>
      <c r="E6" s="484"/>
      <c r="F6" s="484"/>
      <c r="G6" s="122"/>
      <c r="H6" s="484" t="str">
        <f>'Ret Contr Input - LEA'!H6:J6</f>
        <v>FY2024</v>
      </c>
      <c r="I6" s="484"/>
      <c r="J6" s="484"/>
      <c r="K6" s="122"/>
      <c r="L6" s="122"/>
      <c r="M6" s="124" t="str">
        <f>H6</f>
        <v>FY2024</v>
      </c>
    </row>
    <row r="7" spans="1:13" s="115" customFormat="1" ht="12.75" x14ac:dyDescent="0.2">
      <c r="A7" s="123" t="s">
        <v>23</v>
      </c>
      <c r="B7" s="123" t="s">
        <v>24</v>
      </c>
      <c r="C7" s="122"/>
      <c r="D7" s="126" t="s">
        <v>25</v>
      </c>
      <c r="E7" s="126" t="s">
        <v>26</v>
      </c>
      <c r="F7" s="126" t="s">
        <v>5</v>
      </c>
      <c r="G7" s="126"/>
      <c r="H7" s="126" t="s">
        <v>25</v>
      </c>
      <c r="I7" s="126" t="s">
        <v>26</v>
      </c>
      <c r="J7" s="126" t="s">
        <v>5</v>
      </c>
      <c r="K7" s="122"/>
      <c r="L7" s="122"/>
      <c r="M7" s="127" t="s">
        <v>246</v>
      </c>
    </row>
    <row r="8" spans="1:13" s="115" customFormat="1" ht="12.75" x14ac:dyDescent="0.2"/>
    <row r="9" spans="1:13" s="115" customFormat="1" ht="12.75" x14ac:dyDescent="0.2">
      <c r="A9" s="116" t="s">
        <v>252</v>
      </c>
      <c r="B9" s="115" t="s">
        <v>27</v>
      </c>
      <c r="C9" s="116"/>
      <c r="D9" s="117">
        <v>0</v>
      </c>
      <c r="E9" s="117">
        <v>0</v>
      </c>
      <c r="F9" s="118">
        <f>SUM(D9:E9)</f>
        <v>0</v>
      </c>
      <c r="G9" s="118"/>
      <c r="H9" s="117">
        <v>0</v>
      </c>
      <c r="I9" s="117">
        <v>0</v>
      </c>
      <c r="J9" s="118">
        <f>SUM(H9:I9)</f>
        <v>0</v>
      </c>
      <c r="M9" s="117">
        <v>0</v>
      </c>
    </row>
    <row r="10" spans="1:13" s="115" customFormat="1" ht="12.75" x14ac:dyDescent="0.2">
      <c r="A10" s="115" t="s">
        <v>253</v>
      </c>
      <c r="B10" s="115" t="s">
        <v>28</v>
      </c>
      <c r="D10" s="117">
        <v>0</v>
      </c>
      <c r="E10" s="117">
        <v>0</v>
      </c>
      <c r="F10" s="118">
        <f t="shared" ref="F10:F45" si="0">SUM(D10:E10)</f>
        <v>0</v>
      </c>
      <c r="G10" s="118"/>
      <c r="H10" s="117">
        <v>0</v>
      </c>
      <c r="I10" s="117">
        <v>0</v>
      </c>
      <c r="J10" s="118">
        <f t="shared" ref="J10:J45" si="1">SUM(H10:I10)</f>
        <v>0</v>
      </c>
      <c r="M10" s="117">
        <v>0</v>
      </c>
    </row>
    <row r="11" spans="1:13" s="115" customFormat="1" ht="12.75" x14ac:dyDescent="0.2">
      <c r="A11" s="115" t="s">
        <v>254</v>
      </c>
      <c r="B11" s="115" t="s">
        <v>29</v>
      </c>
      <c r="D11" s="117">
        <v>0</v>
      </c>
      <c r="E11" s="117">
        <v>0</v>
      </c>
      <c r="F11" s="118">
        <f t="shared" si="0"/>
        <v>0</v>
      </c>
      <c r="G11" s="118"/>
      <c r="H11" s="117">
        <v>0</v>
      </c>
      <c r="I11" s="117">
        <v>0</v>
      </c>
      <c r="J11" s="118">
        <f t="shared" si="1"/>
        <v>0</v>
      </c>
      <c r="M11" s="117">
        <v>0</v>
      </c>
    </row>
    <row r="12" spans="1:13" s="115" customFormat="1" ht="12.75" x14ac:dyDescent="0.2">
      <c r="A12" s="116" t="s">
        <v>255</v>
      </c>
      <c r="B12" s="115" t="s">
        <v>30</v>
      </c>
      <c r="C12" s="116"/>
      <c r="D12" s="117">
        <v>0</v>
      </c>
      <c r="E12" s="117">
        <v>0</v>
      </c>
      <c r="F12" s="118">
        <f t="shared" si="0"/>
        <v>0</v>
      </c>
      <c r="G12" s="118"/>
      <c r="H12" s="117">
        <v>0</v>
      </c>
      <c r="I12" s="117">
        <v>0</v>
      </c>
      <c r="J12" s="118">
        <f t="shared" si="1"/>
        <v>0</v>
      </c>
      <c r="M12" s="117">
        <v>0</v>
      </c>
    </row>
    <row r="13" spans="1:13" s="115" customFormat="1" ht="12.75" x14ac:dyDescent="0.2">
      <c r="A13" s="115" t="s">
        <v>256</v>
      </c>
      <c r="B13" s="115" t="s">
        <v>31</v>
      </c>
      <c r="D13" s="117">
        <v>0</v>
      </c>
      <c r="E13" s="117">
        <v>0</v>
      </c>
      <c r="F13" s="118">
        <f t="shared" si="0"/>
        <v>0</v>
      </c>
      <c r="G13" s="118"/>
      <c r="H13" s="117">
        <v>0</v>
      </c>
      <c r="I13" s="117">
        <v>0</v>
      </c>
      <c r="J13" s="118">
        <f t="shared" si="1"/>
        <v>0</v>
      </c>
      <c r="M13" s="117">
        <v>0</v>
      </c>
    </row>
    <row r="14" spans="1:13" s="115" customFormat="1" ht="12.75" x14ac:dyDescent="0.2">
      <c r="A14" s="115" t="s">
        <v>257</v>
      </c>
      <c r="B14" s="115" t="s">
        <v>32</v>
      </c>
      <c r="D14" s="117">
        <v>0</v>
      </c>
      <c r="E14" s="117">
        <v>0</v>
      </c>
      <c r="F14" s="118">
        <f t="shared" si="0"/>
        <v>0</v>
      </c>
      <c r="G14" s="118"/>
      <c r="H14" s="117">
        <v>0</v>
      </c>
      <c r="I14" s="117">
        <v>0</v>
      </c>
      <c r="J14" s="118">
        <f t="shared" si="1"/>
        <v>0</v>
      </c>
      <c r="M14" s="117">
        <v>0</v>
      </c>
    </row>
    <row r="15" spans="1:13" s="115" customFormat="1" ht="12.75" x14ac:dyDescent="0.2">
      <c r="A15" s="115" t="s">
        <v>258</v>
      </c>
      <c r="B15" s="115" t="s">
        <v>33</v>
      </c>
      <c r="D15" s="117">
        <v>0</v>
      </c>
      <c r="E15" s="117">
        <v>0</v>
      </c>
      <c r="F15" s="118">
        <f t="shared" si="0"/>
        <v>0</v>
      </c>
      <c r="G15" s="118"/>
      <c r="H15" s="117">
        <v>0</v>
      </c>
      <c r="I15" s="117">
        <v>0</v>
      </c>
      <c r="J15" s="118">
        <f t="shared" si="1"/>
        <v>0</v>
      </c>
      <c r="M15" s="117">
        <v>0</v>
      </c>
    </row>
    <row r="16" spans="1:13" s="115" customFormat="1" ht="12.75" x14ac:dyDescent="0.2">
      <c r="A16" s="115" t="s">
        <v>259</v>
      </c>
      <c r="B16" s="115" t="s">
        <v>34</v>
      </c>
      <c r="D16" s="117">
        <v>0</v>
      </c>
      <c r="E16" s="117">
        <v>0</v>
      </c>
      <c r="F16" s="118">
        <f t="shared" si="0"/>
        <v>0</v>
      </c>
      <c r="G16" s="118"/>
      <c r="H16" s="117">
        <v>0</v>
      </c>
      <c r="I16" s="117">
        <v>0</v>
      </c>
      <c r="J16" s="118">
        <f t="shared" si="1"/>
        <v>0</v>
      </c>
      <c r="M16" s="117">
        <v>0</v>
      </c>
    </row>
    <row r="17" spans="1:13" s="115" customFormat="1" ht="12.75" x14ac:dyDescent="0.2">
      <c r="A17" s="115" t="s">
        <v>260</v>
      </c>
      <c r="B17" s="115" t="s">
        <v>35</v>
      </c>
      <c r="D17" s="117">
        <v>0</v>
      </c>
      <c r="E17" s="117">
        <v>0</v>
      </c>
      <c r="F17" s="118">
        <f t="shared" si="0"/>
        <v>0</v>
      </c>
      <c r="G17" s="118"/>
      <c r="H17" s="117">
        <v>0</v>
      </c>
      <c r="I17" s="117">
        <v>0</v>
      </c>
      <c r="J17" s="118">
        <f t="shared" si="1"/>
        <v>0</v>
      </c>
      <c r="M17" s="117">
        <v>0</v>
      </c>
    </row>
    <row r="18" spans="1:13" s="115" customFormat="1" ht="12.75" x14ac:dyDescent="0.2">
      <c r="A18" s="115" t="s">
        <v>261</v>
      </c>
      <c r="B18" s="115" t="s">
        <v>36</v>
      </c>
      <c r="D18" s="117">
        <v>0</v>
      </c>
      <c r="E18" s="117">
        <v>0</v>
      </c>
      <c r="F18" s="118">
        <f t="shared" si="0"/>
        <v>0</v>
      </c>
      <c r="G18" s="118"/>
      <c r="H18" s="117">
        <v>0</v>
      </c>
      <c r="I18" s="117">
        <v>0</v>
      </c>
      <c r="J18" s="118">
        <f t="shared" si="1"/>
        <v>0</v>
      </c>
      <c r="M18" s="117">
        <v>0</v>
      </c>
    </row>
    <row r="19" spans="1:13" s="115" customFormat="1" ht="12.75" x14ac:dyDescent="0.2">
      <c r="A19" s="115" t="s">
        <v>262</v>
      </c>
      <c r="B19" s="115" t="s">
        <v>37</v>
      </c>
      <c r="D19" s="117">
        <v>0</v>
      </c>
      <c r="E19" s="117">
        <v>0</v>
      </c>
      <c r="F19" s="118">
        <f t="shared" si="0"/>
        <v>0</v>
      </c>
      <c r="G19" s="118"/>
      <c r="H19" s="117">
        <v>0</v>
      </c>
      <c r="I19" s="117">
        <v>0</v>
      </c>
      <c r="J19" s="118">
        <f t="shared" si="1"/>
        <v>0</v>
      </c>
      <c r="M19" s="117">
        <v>0</v>
      </c>
    </row>
    <row r="20" spans="1:13" s="115" customFormat="1" ht="12.75" x14ac:dyDescent="0.2">
      <c r="A20" s="115" t="s">
        <v>263</v>
      </c>
      <c r="B20" s="115" t="s">
        <v>38</v>
      </c>
      <c r="D20" s="117">
        <v>0</v>
      </c>
      <c r="E20" s="117">
        <v>0</v>
      </c>
      <c r="F20" s="118">
        <f t="shared" si="0"/>
        <v>0</v>
      </c>
      <c r="G20" s="118"/>
      <c r="H20" s="117">
        <v>0</v>
      </c>
      <c r="I20" s="117">
        <v>0</v>
      </c>
      <c r="J20" s="118">
        <f t="shared" si="1"/>
        <v>0</v>
      </c>
      <c r="M20" s="117">
        <v>0</v>
      </c>
    </row>
    <row r="21" spans="1:13" s="115" customFormat="1" ht="12.75" x14ac:dyDescent="0.2">
      <c r="A21" s="115" t="s">
        <v>264</v>
      </c>
      <c r="B21" s="115" t="s">
        <v>39</v>
      </c>
      <c r="D21" s="117">
        <v>0</v>
      </c>
      <c r="E21" s="117">
        <v>0</v>
      </c>
      <c r="F21" s="118">
        <f t="shared" si="0"/>
        <v>0</v>
      </c>
      <c r="G21" s="118"/>
      <c r="H21" s="117">
        <v>0</v>
      </c>
      <c r="I21" s="117">
        <v>0</v>
      </c>
      <c r="J21" s="118">
        <f t="shared" si="1"/>
        <v>0</v>
      </c>
      <c r="M21" s="117">
        <v>0</v>
      </c>
    </row>
    <row r="22" spans="1:13" s="115" customFormat="1" ht="12.75" x14ac:dyDescent="0.2">
      <c r="A22" s="115" t="s">
        <v>265</v>
      </c>
      <c r="B22" s="115" t="s">
        <v>40</v>
      </c>
      <c r="D22" s="117">
        <v>0</v>
      </c>
      <c r="E22" s="117">
        <v>0</v>
      </c>
      <c r="F22" s="118">
        <f t="shared" si="0"/>
        <v>0</v>
      </c>
      <c r="G22" s="118"/>
      <c r="H22" s="117">
        <v>0</v>
      </c>
      <c r="I22" s="117">
        <v>0</v>
      </c>
      <c r="J22" s="118">
        <f t="shared" si="1"/>
        <v>0</v>
      </c>
      <c r="M22" s="117">
        <v>0</v>
      </c>
    </row>
    <row r="23" spans="1:13" s="115" customFormat="1" ht="12.75" x14ac:dyDescent="0.2">
      <c r="A23" s="115" t="s">
        <v>266</v>
      </c>
      <c r="B23" s="115" t="s">
        <v>41</v>
      </c>
      <c r="D23" s="117">
        <v>0</v>
      </c>
      <c r="E23" s="117">
        <v>0</v>
      </c>
      <c r="F23" s="118">
        <f t="shared" si="0"/>
        <v>0</v>
      </c>
      <c r="G23" s="118"/>
      <c r="H23" s="117">
        <v>0</v>
      </c>
      <c r="I23" s="117">
        <v>0</v>
      </c>
      <c r="J23" s="118">
        <f t="shared" si="1"/>
        <v>0</v>
      </c>
      <c r="M23" s="117">
        <v>0</v>
      </c>
    </row>
    <row r="24" spans="1:13" s="115" customFormat="1" ht="12.75" x14ac:dyDescent="0.2">
      <c r="A24" s="115" t="s">
        <v>267</v>
      </c>
      <c r="B24" s="115" t="s">
        <v>42</v>
      </c>
      <c r="D24" s="117">
        <v>0</v>
      </c>
      <c r="E24" s="117">
        <v>0</v>
      </c>
      <c r="F24" s="118">
        <f t="shared" si="0"/>
        <v>0</v>
      </c>
      <c r="G24" s="118"/>
      <c r="H24" s="117">
        <v>0</v>
      </c>
      <c r="I24" s="117">
        <v>0</v>
      </c>
      <c r="J24" s="118">
        <f t="shared" si="1"/>
        <v>0</v>
      </c>
      <c r="M24" s="117">
        <v>0</v>
      </c>
    </row>
    <row r="25" spans="1:13" s="115" customFormat="1" ht="12.75" x14ac:dyDescent="0.2">
      <c r="A25" s="115" t="s">
        <v>268</v>
      </c>
      <c r="B25" s="115" t="s">
        <v>43</v>
      </c>
      <c r="D25" s="117">
        <v>0</v>
      </c>
      <c r="E25" s="117">
        <v>0</v>
      </c>
      <c r="F25" s="118">
        <f t="shared" si="0"/>
        <v>0</v>
      </c>
      <c r="G25" s="118"/>
      <c r="H25" s="117">
        <v>0</v>
      </c>
      <c r="I25" s="117">
        <v>0</v>
      </c>
      <c r="J25" s="118">
        <f t="shared" si="1"/>
        <v>0</v>
      </c>
      <c r="M25" s="117">
        <v>0</v>
      </c>
    </row>
    <row r="26" spans="1:13" s="115" customFormat="1" ht="12.75" x14ac:dyDescent="0.2">
      <c r="A26" s="115" t="s">
        <v>269</v>
      </c>
      <c r="B26" s="115" t="s">
        <v>44</v>
      </c>
      <c r="D26" s="117">
        <v>0</v>
      </c>
      <c r="E26" s="117">
        <v>0</v>
      </c>
      <c r="F26" s="118">
        <f t="shared" si="0"/>
        <v>0</v>
      </c>
      <c r="G26" s="118"/>
      <c r="H26" s="117">
        <v>0</v>
      </c>
      <c r="I26" s="117">
        <v>0</v>
      </c>
      <c r="J26" s="118">
        <f t="shared" si="1"/>
        <v>0</v>
      </c>
      <c r="M26" s="117">
        <v>0</v>
      </c>
    </row>
    <row r="27" spans="1:13" s="115" customFormat="1" ht="12.75" x14ac:dyDescent="0.2">
      <c r="D27" s="207"/>
      <c r="E27" s="207"/>
      <c r="F27" s="118"/>
      <c r="G27" s="119"/>
      <c r="H27" s="207"/>
      <c r="I27" s="207"/>
      <c r="J27" s="118"/>
      <c r="M27" s="207"/>
    </row>
    <row r="28" spans="1:13" s="115" customFormat="1" ht="12.75" x14ac:dyDescent="0.2">
      <c r="A28" s="116" t="s">
        <v>270</v>
      </c>
      <c r="B28" s="115" t="s">
        <v>27</v>
      </c>
      <c r="C28" s="116"/>
      <c r="D28" s="117">
        <v>0</v>
      </c>
      <c r="E28" s="117">
        <v>0</v>
      </c>
      <c r="F28" s="118">
        <f t="shared" si="0"/>
        <v>0</v>
      </c>
      <c r="G28" s="118"/>
      <c r="H28" s="117">
        <v>0</v>
      </c>
      <c r="I28" s="117">
        <v>0</v>
      </c>
      <c r="J28" s="118">
        <f t="shared" si="1"/>
        <v>0</v>
      </c>
      <c r="M28" s="117">
        <v>0</v>
      </c>
    </row>
    <row r="29" spans="1:13" s="115" customFormat="1" ht="12.75" x14ac:dyDescent="0.2">
      <c r="A29" s="115" t="s">
        <v>271</v>
      </c>
      <c r="B29" s="115" t="s">
        <v>28</v>
      </c>
      <c r="D29" s="117">
        <v>0</v>
      </c>
      <c r="E29" s="117">
        <v>0</v>
      </c>
      <c r="F29" s="118">
        <f t="shared" si="0"/>
        <v>0</v>
      </c>
      <c r="G29" s="118"/>
      <c r="H29" s="117">
        <v>0</v>
      </c>
      <c r="I29" s="117">
        <v>0</v>
      </c>
      <c r="J29" s="118">
        <f t="shared" si="1"/>
        <v>0</v>
      </c>
      <c r="M29" s="117">
        <v>0</v>
      </c>
    </row>
    <row r="30" spans="1:13" s="115" customFormat="1" ht="12.75" x14ac:dyDescent="0.2">
      <c r="A30" s="115" t="s">
        <v>272</v>
      </c>
      <c r="B30" s="115" t="s">
        <v>29</v>
      </c>
      <c r="D30" s="117">
        <v>0</v>
      </c>
      <c r="E30" s="117">
        <v>0</v>
      </c>
      <c r="F30" s="118">
        <f t="shared" si="0"/>
        <v>0</v>
      </c>
      <c r="G30" s="118"/>
      <c r="H30" s="117">
        <v>0</v>
      </c>
      <c r="I30" s="117">
        <v>0</v>
      </c>
      <c r="J30" s="118">
        <f t="shared" si="1"/>
        <v>0</v>
      </c>
      <c r="M30" s="117">
        <v>0</v>
      </c>
    </row>
    <row r="31" spans="1:13" s="115" customFormat="1" ht="12.75" x14ac:dyDescent="0.2">
      <c r="A31" s="116" t="s">
        <v>273</v>
      </c>
      <c r="B31" s="115" t="s">
        <v>30</v>
      </c>
      <c r="C31" s="116"/>
      <c r="D31" s="117">
        <v>0</v>
      </c>
      <c r="E31" s="117">
        <v>0</v>
      </c>
      <c r="F31" s="118">
        <f t="shared" si="0"/>
        <v>0</v>
      </c>
      <c r="G31" s="118"/>
      <c r="H31" s="117">
        <v>0</v>
      </c>
      <c r="I31" s="117">
        <v>0</v>
      </c>
      <c r="J31" s="118">
        <f t="shared" si="1"/>
        <v>0</v>
      </c>
      <c r="M31" s="117">
        <v>0</v>
      </c>
    </row>
    <row r="32" spans="1:13" s="115" customFormat="1" ht="12.75" x14ac:dyDescent="0.2">
      <c r="A32" s="115" t="s">
        <v>274</v>
      </c>
      <c r="B32" s="115" t="s">
        <v>31</v>
      </c>
      <c r="D32" s="117">
        <v>0</v>
      </c>
      <c r="E32" s="117">
        <v>0</v>
      </c>
      <c r="F32" s="118">
        <f t="shared" si="0"/>
        <v>0</v>
      </c>
      <c r="G32" s="118"/>
      <c r="H32" s="117">
        <v>0</v>
      </c>
      <c r="I32" s="117">
        <v>0</v>
      </c>
      <c r="J32" s="118">
        <f t="shared" si="1"/>
        <v>0</v>
      </c>
      <c r="M32" s="117">
        <v>0</v>
      </c>
    </row>
    <row r="33" spans="1:13" s="115" customFormat="1" ht="12.75" x14ac:dyDescent="0.2">
      <c r="A33" s="115" t="s">
        <v>275</v>
      </c>
      <c r="B33" s="115" t="s">
        <v>32</v>
      </c>
      <c r="D33" s="117">
        <v>0</v>
      </c>
      <c r="E33" s="117">
        <v>0</v>
      </c>
      <c r="F33" s="118">
        <f t="shared" si="0"/>
        <v>0</v>
      </c>
      <c r="G33" s="118"/>
      <c r="H33" s="117">
        <v>0</v>
      </c>
      <c r="I33" s="117">
        <v>0</v>
      </c>
      <c r="J33" s="118">
        <f t="shared" si="1"/>
        <v>0</v>
      </c>
      <c r="M33" s="117">
        <v>0</v>
      </c>
    </row>
    <row r="34" spans="1:13" s="115" customFormat="1" ht="12.75" x14ac:dyDescent="0.2">
      <c r="A34" s="115" t="s">
        <v>276</v>
      </c>
      <c r="B34" s="115" t="s">
        <v>33</v>
      </c>
      <c r="D34" s="117">
        <v>0</v>
      </c>
      <c r="E34" s="117">
        <v>0</v>
      </c>
      <c r="F34" s="118">
        <f t="shared" si="0"/>
        <v>0</v>
      </c>
      <c r="G34" s="118"/>
      <c r="H34" s="117">
        <v>0</v>
      </c>
      <c r="I34" s="117">
        <v>0</v>
      </c>
      <c r="J34" s="118">
        <f t="shared" si="1"/>
        <v>0</v>
      </c>
      <c r="M34" s="117">
        <v>0</v>
      </c>
    </row>
    <row r="35" spans="1:13" s="115" customFormat="1" ht="12.75" x14ac:dyDescent="0.2">
      <c r="A35" s="115" t="s">
        <v>277</v>
      </c>
      <c r="B35" s="115" t="s">
        <v>34</v>
      </c>
      <c r="D35" s="117">
        <v>0</v>
      </c>
      <c r="E35" s="117">
        <v>0</v>
      </c>
      <c r="F35" s="118">
        <f t="shared" si="0"/>
        <v>0</v>
      </c>
      <c r="G35" s="118"/>
      <c r="H35" s="117">
        <v>0</v>
      </c>
      <c r="I35" s="117">
        <v>0</v>
      </c>
      <c r="J35" s="118">
        <f t="shared" si="1"/>
        <v>0</v>
      </c>
      <c r="M35" s="117">
        <v>0</v>
      </c>
    </row>
    <row r="36" spans="1:13" s="115" customFormat="1" ht="12.75" x14ac:dyDescent="0.2">
      <c r="A36" s="115" t="s">
        <v>278</v>
      </c>
      <c r="B36" s="115" t="s">
        <v>35</v>
      </c>
      <c r="D36" s="117">
        <v>0</v>
      </c>
      <c r="E36" s="117">
        <v>0</v>
      </c>
      <c r="F36" s="118">
        <f t="shared" si="0"/>
        <v>0</v>
      </c>
      <c r="G36" s="118"/>
      <c r="H36" s="117">
        <v>0</v>
      </c>
      <c r="I36" s="117">
        <v>0</v>
      </c>
      <c r="J36" s="118">
        <f t="shared" si="1"/>
        <v>0</v>
      </c>
      <c r="M36" s="117">
        <v>0</v>
      </c>
    </row>
    <row r="37" spans="1:13" s="115" customFormat="1" ht="12.75" x14ac:dyDescent="0.2">
      <c r="A37" s="115" t="s">
        <v>279</v>
      </c>
      <c r="B37" s="115" t="s">
        <v>36</v>
      </c>
      <c r="D37" s="117">
        <v>0</v>
      </c>
      <c r="E37" s="117">
        <v>0</v>
      </c>
      <c r="F37" s="118">
        <f t="shared" si="0"/>
        <v>0</v>
      </c>
      <c r="G37" s="118"/>
      <c r="H37" s="117">
        <v>0</v>
      </c>
      <c r="I37" s="117">
        <v>0</v>
      </c>
      <c r="J37" s="118">
        <f t="shared" si="1"/>
        <v>0</v>
      </c>
      <c r="M37" s="117">
        <v>0</v>
      </c>
    </row>
    <row r="38" spans="1:13" s="115" customFormat="1" ht="12.75" x14ac:dyDescent="0.2">
      <c r="A38" s="115" t="s">
        <v>280</v>
      </c>
      <c r="B38" s="115" t="s">
        <v>37</v>
      </c>
      <c r="D38" s="117">
        <v>0</v>
      </c>
      <c r="E38" s="117">
        <v>0</v>
      </c>
      <c r="F38" s="118">
        <f t="shared" si="0"/>
        <v>0</v>
      </c>
      <c r="G38" s="118"/>
      <c r="H38" s="117">
        <v>0</v>
      </c>
      <c r="I38" s="117">
        <v>0</v>
      </c>
      <c r="J38" s="118">
        <f t="shared" si="1"/>
        <v>0</v>
      </c>
      <c r="M38" s="117">
        <v>0</v>
      </c>
    </row>
    <row r="39" spans="1:13" s="115" customFormat="1" ht="12.75" x14ac:dyDescent="0.2">
      <c r="A39" s="115" t="s">
        <v>281</v>
      </c>
      <c r="B39" s="115" t="s">
        <v>38</v>
      </c>
      <c r="D39" s="117">
        <v>0</v>
      </c>
      <c r="E39" s="117">
        <v>0</v>
      </c>
      <c r="F39" s="118">
        <f t="shared" si="0"/>
        <v>0</v>
      </c>
      <c r="G39" s="118"/>
      <c r="H39" s="117">
        <v>0</v>
      </c>
      <c r="I39" s="117">
        <v>0</v>
      </c>
      <c r="J39" s="118">
        <f t="shared" si="1"/>
        <v>0</v>
      </c>
      <c r="M39" s="117">
        <v>0</v>
      </c>
    </row>
    <row r="40" spans="1:13" s="115" customFormat="1" ht="12.75" x14ac:dyDescent="0.2">
      <c r="A40" s="115" t="s">
        <v>282</v>
      </c>
      <c r="B40" s="115" t="s">
        <v>39</v>
      </c>
      <c r="D40" s="117">
        <v>0</v>
      </c>
      <c r="E40" s="117">
        <v>0</v>
      </c>
      <c r="F40" s="118">
        <f t="shared" si="0"/>
        <v>0</v>
      </c>
      <c r="G40" s="118"/>
      <c r="H40" s="117">
        <v>0</v>
      </c>
      <c r="I40" s="117">
        <v>0</v>
      </c>
      <c r="J40" s="118">
        <f t="shared" si="1"/>
        <v>0</v>
      </c>
      <c r="M40" s="117">
        <v>0</v>
      </c>
    </row>
    <row r="41" spans="1:13" s="115" customFormat="1" ht="12.75" x14ac:dyDescent="0.2">
      <c r="A41" s="115" t="s">
        <v>283</v>
      </c>
      <c r="B41" s="115" t="s">
        <v>40</v>
      </c>
      <c r="D41" s="117">
        <v>0</v>
      </c>
      <c r="E41" s="117">
        <v>0</v>
      </c>
      <c r="F41" s="118">
        <f t="shared" si="0"/>
        <v>0</v>
      </c>
      <c r="G41" s="118"/>
      <c r="H41" s="117">
        <v>0</v>
      </c>
      <c r="I41" s="117">
        <v>0</v>
      </c>
      <c r="J41" s="118">
        <f t="shared" si="1"/>
        <v>0</v>
      </c>
      <c r="M41" s="117">
        <v>0</v>
      </c>
    </row>
    <row r="42" spans="1:13" s="115" customFormat="1" ht="12.75" x14ac:dyDescent="0.2">
      <c r="A42" s="115" t="s">
        <v>284</v>
      </c>
      <c r="B42" s="115" t="s">
        <v>41</v>
      </c>
      <c r="D42" s="117">
        <v>0</v>
      </c>
      <c r="E42" s="117">
        <v>0</v>
      </c>
      <c r="F42" s="118">
        <f t="shared" si="0"/>
        <v>0</v>
      </c>
      <c r="G42" s="118"/>
      <c r="H42" s="117">
        <v>0</v>
      </c>
      <c r="I42" s="117">
        <v>0</v>
      </c>
      <c r="J42" s="118">
        <f t="shared" si="1"/>
        <v>0</v>
      </c>
      <c r="M42" s="117">
        <v>0</v>
      </c>
    </row>
    <row r="43" spans="1:13" s="115" customFormat="1" ht="12.75" x14ac:dyDescent="0.2">
      <c r="A43" s="115" t="s">
        <v>285</v>
      </c>
      <c r="B43" s="115" t="s">
        <v>42</v>
      </c>
      <c r="D43" s="117">
        <v>0</v>
      </c>
      <c r="E43" s="117">
        <v>0</v>
      </c>
      <c r="F43" s="118">
        <f t="shared" si="0"/>
        <v>0</v>
      </c>
      <c r="G43" s="118"/>
      <c r="H43" s="117">
        <v>0</v>
      </c>
      <c r="I43" s="117">
        <v>0</v>
      </c>
      <c r="J43" s="118">
        <f t="shared" si="1"/>
        <v>0</v>
      </c>
      <c r="M43" s="117">
        <v>0</v>
      </c>
    </row>
    <row r="44" spans="1:13" s="115" customFormat="1" ht="12.75" x14ac:dyDescent="0.2">
      <c r="A44" s="115" t="s">
        <v>286</v>
      </c>
      <c r="B44" s="115" t="s">
        <v>43</v>
      </c>
      <c r="D44" s="117">
        <v>0</v>
      </c>
      <c r="E44" s="117">
        <v>0</v>
      </c>
      <c r="F44" s="118">
        <f t="shared" si="0"/>
        <v>0</v>
      </c>
      <c r="G44" s="118"/>
      <c r="H44" s="117">
        <v>0</v>
      </c>
      <c r="I44" s="117">
        <v>0</v>
      </c>
      <c r="J44" s="118">
        <f t="shared" si="1"/>
        <v>0</v>
      </c>
      <c r="M44" s="117">
        <v>0</v>
      </c>
    </row>
    <row r="45" spans="1:13" s="115" customFormat="1" ht="12.75" x14ac:dyDescent="0.2">
      <c r="A45" s="115" t="s">
        <v>287</v>
      </c>
      <c r="B45" s="115" t="s">
        <v>44</v>
      </c>
      <c r="D45" s="117">
        <v>0</v>
      </c>
      <c r="E45" s="117">
        <v>0</v>
      </c>
      <c r="F45" s="118">
        <f t="shared" si="0"/>
        <v>0</v>
      </c>
      <c r="G45" s="118"/>
      <c r="H45" s="117">
        <v>0</v>
      </c>
      <c r="I45" s="117">
        <v>0</v>
      </c>
      <c r="J45" s="118">
        <f t="shared" si="1"/>
        <v>0</v>
      </c>
      <c r="M45" s="117">
        <v>0</v>
      </c>
    </row>
    <row r="46" spans="1:13" s="115" customFormat="1" ht="13.5" thickBot="1" x14ac:dyDescent="0.25">
      <c r="D46" s="51">
        <f>SUM(D9:D45)</f>
        <v>0</v>
      </c>
      <c r="E46" s="51">
        <f>SUM(E9:E45)</f>
        <v>0</v>
      </c>
      <c r="F46" s="51">
        <f>SUM(F9:F45)</f>
        <v>0</v>
      </c>
      <c r="H46" s="51">
        <f>SUM(H9:H45)</f>
        <v>0</v>
      </c>
      <c r="I46" s="51">
        <f>SUM(I9:I45)</f>
        <v>0</v>
      </c>
      <c r="J46" s="51">
        <f>SUM(J9:J45)</f>
        <v>0</v>
      </c>
      <c r="M46" s="51">
        <f>SUM(M9:M45)</f>
        <v>0</v>
      </c>
    </row>
    <row r="47" spans="1:13" s="115" customFormat="1" ht="13.5" thickTop="1" x14ac:dyDescent="0.2"/>
    <row r="48" spans="1:13" s="115" customFormat="1" ht="12.75" x14ac:dyDescent="0.2"/>
    <row r="49" spans="1:13" s="115" customFormat="1" ht="12.75" x14ac:dyDescent="0.2">
      <c r="A49" s="123" t="s">
        <v>63</v>
      </c>
      <c r="E49" s="485" t="s">
        <v>244</v>
      </c>
      <c r="F49" s="485"/>
      <c r="I49" s="485" t="s">
        <v>244</v>
      </c>
      <c r="J49" s="485"/>
      <c r="K49" s="122"/>
      <c r="L49" s="122"/>
      <c r="M49" s="125" t="s">
        <v>245</v>
      </c>
    </row>
    <row r="50" spans="1:13" s="115" customFormat="1" ht="12.75" x14ac:dyDescent="0.2">
      <c r="E50" s="124" t="str">
        <f>D6</f>
        <v>FY2023</v>
      </c>
      <c r="F50" s="124" t="s">
        <v>64</v>
      </c>
      <c r="I50" s="124" t="str">
        <f>H6</f>
        <v>FY2024</v>
      </c>
      <c r="J50" s="124" t="s">
        <v>64</v>
      </c>
      <c r="K50" s="122"/>
      <c r="L50" s="122"/>
      <c r="M50" s="124" t="str">
        <f>H6</f>
        <v>FY2024</v>
      </c>
    </row>
    <row r="51" spans="1:13" s="115" customFormat="1" ht="12.75" x14ac:dyDescent="0.2">
      <c r="A51" s="113" t="s">
        <v>65</v>
      </c>
      <c r="E51" s="49">
        <f>F9+F10+F11+F12+F13+F14+F15+F16+F28+F29+F30+F31+F32+F33+F34+F35</f>
        <v>0</v>
      </c>
      <c r="F51" s="50">
        <f>IF($E$62=0,0,E51/$E$62)</f>
        <v>0</v>
      </c>
      <c r="I51" s="49">
        <f>J9+J10+J11+J12+J13+J14+J15+J16+J28+J29+J30+J31+J32+J33+J34+J35</f>
        <v>0</v>
      </c>
      <c r="J51" s="50">
        <f>IF($I$62=0,0,I51/$I$62)</f>
        <v>0</v>
      </c>
      <c r="M51" s="49">
        <f>M9+M10+M11+M12+M13+M14+M15+M16+M28+M29+M30+M31+M32+M33+M34+M35</f>
        <v>0</v>
      </c>
    </row>
    <row r="52" spans="1:13" s="115" customFormat="1" ht="12.75" x14ac:dyDescent="0.2">
      <c r="A52" s="113" t="s">
        <v>66</v>
      </c>
      <c r="E52" s="49">
        <f t="shared" ref="E52:E61" si="2">F17+F36</f>
        <v>0</v>
      </c>
      <c r="F52" s="50">
        <f t="shared" ref="F52:F62" si="3">IF($E$62=0,0,E52/$E$62)</f>
        <v>0</v>
      </c>
      <c r="I52" s="49">
        <f t="shared" ref="I52:I61" si="4">J17+J36</f>
        <v>0</v>
      </c>
      <c r="J52" s="50">
        <f t="shared" ref="J52:J62" si="5">IF($I$62=0,0,I52/$I$62)</f>
        <v>0</v>
      </c>
      <c r="M52" s="49">
        <f t="shared" ref="M52:M61" si="6">M17+M36</f>
        <v>0</v>
      </c>
    </row>
    <row r="53" spans="1:13" s="115" customFormat="1" ht="12.75" x14ac:dyDescent="0.2">
      <c r="A53" s="113" t="s">
        <v>67</v>
      </c>
      <c r="E53" s="49">
        <f t="shared" si="2"/>
        <v>0</v>
      </c>
      <c r="F53" s="50">
        <f t="shared" si="3"/>
        <v>0</v>
      </c>
      <c r="I53" s="49">
        <f t="shared" si="4"/>
        <v>0</v>
      </c>
      <c r="J53" s="50">
        <f t="shared" si="5"/>
        <v>0</v>
      </c>
      <c r="M53" s="49">
        <f t="shared" si="6"/>
        <v>0</v>
      </c>
    </row>
    <row r="54" spans="1:13" s="115" customFormat="1" ht="12.75" x14ac:dyDescent="0.2">
      <c r="A54" s="113" t="s">
        <v>68</v>
      </c>
      <c r="E54" s="49">
        <f t="shared" si="2"/>
        <v>0</v>
      </c>
      <c r="F54" s="50">
        <f t="shared" si="3"/>
        <v>0</v>
      </c>
      <c r="I54" s="49">
        <f t="shared" si="4"/>
        <v>0</v>
      </c>
      <c r="J54" s="50">
        <f t="shared" si="5"/>
        <v>0</v>
      </c>
      <c r="M54" s="49">
        <f t="shared" si="6"/>
        <v>0</v>
      </c>
    </row>
    <row r="55" spans="1:13" s="115" customFormat="1" ht="12.75" x14ac:dyDescent="0.2">
      <c r="A55" s="113" t="s">
        <v>69</v>
      </c>
      <c r="E55" s="49">
        <f t="shared" si="2"/>
        <v>0</v>
      </c>
      <c r="F55" s="50">
        <f>IF($E$62=0,0,E55/$E$62)</f>
        <v>0</v>
      </c>
      <c r="I55" s="49">
        <f t="shared" si="4"/>
        <v>0</v>
      </c>
      <c r="J55" s="50">
        <f>IF($I$62=0,0,I55/$I$62)</f>
        <v>0</v>
      </c>
      <c r="M55" s="49">
        <f t="shared" si="6"/>
        <v>0</v>
      </c>
    </row>
    <row r="56" spans="1:13" s="115" customFormat="1" ht="12.75" x14ac:dyDescent="0.2">
      <c r="A56" s="113" t="s">
        <v>70</v>
      </c>
      <c r="E56" s="49">
        <f t="shared" si="2"/>
        <v>0</v>
      </c>
      <c r="F56" s="50">
        <f t="shared" si="3"/>
        <v>0</v>
      </c>
      <c r="I56" s="49">
        <f t="shared" si="4"/>
        <v>0</v>
      </c>
      <c r="J56" s="50">
        <f t="shared" si="5"/>
        <v>0</v>
      </c>
      <c r="M56" s="49">
        <f t="shared" si="6"/>
        <v>0</v>
      </c>
    </row>
    <row r="57" spans="1:13" s="115" customFormat="1" ht="12.75" x14ac:dyDescent="0.2">
      <c r="A57" s="113" t="s">
        <v>71</v>
      </c>
      <c r="E57" s="49">
        <f t="shared" si="2"/>
        <v>0</v>
      </c>
      <c r="F57" s="50">
        <f t="shared" si="3"/>
        <v>0</v>
      </c>
      <c r="I57" s="49">
        <f t="shared" si="4"/>
        <v>0</v>
      </c>
      <c r="J57" s="50">
        <f t="shared" si="5"/>
        <v>0</v>
      </c>
      <c r="M57" s="49">
        <f t="shared" si="6"/>
        <v>0</v>
      </c>
    </row>
    <row r="58" spans="1:13" s="115" customFormat="1" ht="12.75" x14ac:dyDescent="0.2">
      <c r="A58" s="113" t="s">
        <v>72</v>
      </c>
      <c r="E58" s="49">
        <f t="shared" si="2"/>
        <v>0</v>
      </c>
      <c r="F58" s="50">
        <f t="shared" si="3"/>
        <v>0</v>
      </c>
      <c r="I58" s="49">
        <f t="shared" si="4"/>
        <v>0</v>
      </c>
      <c r="J58" s="50">
        <f t="shared" si="5"/>
        <v>0</v>
      </c>
      <c r="M58" s="49">
        <f t="shared" si="6"/>
        <v>0</v>
      </c>
    </row>
    <row r="59" spans="1:13" s="115" customFormat="1" ht="12.75" x14ac:dyDescent="0.2">
      <c r="A59" s="113" t="s">
        <v>73</v>
      </c>
      <c r="E59" s="49">
        <f t="shared" si="2"/>
        <v>0</v>
      </c>
      <c r="F59" s="50">
        <f t="shared" si="3"/>
        <v>0</v>
      </c>
      <c r="I59" s="49">
        <f t="shared" si="4"/>
        <v>0</v>
      </c>
      <c r="J59" s="50">
        <f t="shared" si="5"/>
        <v>0</v>
      </c>
      <c r="M59" s="49">
        <f t="shared" si="6"/>
        <v>0</v>
      </c>
    </row>
    <row r="60" spans="1:13" s="115" customFormat="1" ht="12.75" x14ac:dyDescent="0.2">
      <c r="A60" s="113" t="s">
        <v>74</v>
      </c>
      <c r="E60" s="49">
        <f t="shared" si="2"/>
        <v>0</v>
      </c>
      <c r="F60" s="50">
        <f>IF($E$62=0,0,E60/$E$62)</f>
        <v>0</v>
      </c>
      <c r="I60" s="49">
        <f t="shared" si="4"/>
        <v>0</v>
      </c>
      <c r="J60" s="50">
        <f t="shared" si="5"/>
        <v>0</v>
      </c>
      <c r="M60" s="49">
        <f t="shared" si="6"/>
        <v>0</v>
      </c>
    </row>
    <row r="61" spans="1:13" s="115" customFormat="1" ht="12.75" x14ac:dyDescent="0.2">
      <c r="A61" s="113" t="s">
        <v>75</v>
      </c>
      <c r="E61" s="49">
        <f t="shared" si="2"/>
        <v>0</v>
      </c>
      <c r="F61" s="50">
        <f t="shared" si="3"/>
        <v>0</v>
      </c>
      <c r="I61" s="49">
        <f t="shared" si="4"/>
        <v>0</v>
      </c>
      <c r="J61" s="50">
        <f t="shared" si="5"/>
        <v>0</v>
      </c>
      <c r="M61" s="49">
        <f t="shared" si="6"/>
        <v>0</v>
      </c>
    </row>
    <row r="62" spans="1:13" s="115" customFormat="1" ht="13.5" thickBot="1" x14ac:dyDescent="0.25">
      <c r="E62" s="51">
        <f>SUM(E51:E61)</f>
        <v>0</v>
      </c>
      <c r="F62" s="52">
        <f t="shared" si="3"/>
        <v>0</v>
      </c>
      <c r="I62" s="51">
        <f>SUM(I51:I61)</f>
        <v>0</v>
      </c>
      <c r="J62" s="52">
        <f t="shared" si="5"/>
        <v>0</v>
      </c>
      <c r="M62" s="51">
        <f>SUM(M51:M61)</f>
        <v>0</v>
      </c>
    </row>
    <row r="63" spans="1:13" s="115" customFormat="1" ht="13.5" thickTop="1" x14ac:dyDescent="0.2"/>
    <row r="64" spans="1:13" s="115" customFormat="1" ht="13.5" thickBot="1" x14ac:dyDescent="0.25"/>
    <row r="65" spans="1:14" s="115" customFormat="1" ht="13.5" thickBot="1" x14ac:dyDescent="0.25">
      <c r="E65" s="481" t="s">
        <v>329</v>
      </c>
      <c r="F65" s="482"/>
      <c r="G65" s="482"/>
      <c r="H65" s="482"/>
      <c r="I65" s="482"/>
      <c r="J65" s="482"/>
      <c r="K65" s="482"/>
      <c r="L65" s="482"/>
      <c r="M65" s="483"/>
    </row>
    <row r="66" spans="1:14" s="115" customFormat="1" ht="12.75" x14ac:dyDescent="0.2"/>
    <row r="67" spans="1:14" s="115" customFormat="1" ht="12.75" x14ac:dyDescent="0.2">
      <c r="J67" s="124" t="s">
        <v>330</v>
      </c>
      <c r="M67" s="124" t="str">
        <f>H6</f>
        <v>FY2024</v>
      </c>
    </row>
    <row r="68" spans="1:14" s="115" customFormat="1" ht="12.75" x14ac:dyDescent="0.2">
      <c r="I68" s="128" t="s">
        <v>366</v>
      </c>
      <c r="J68" s="129" t="s">
        <v>331</v>
      </c>
      <c r="K68" s="143"/>
      <c r="L68" s="143"/>
      <c r="M68" s="5">
        <v>0</v>
      </c>
      <c r="N68" s="115" t="s">
        <v>334</v>
      </c>
    </row>
    <row r="69" spans="1:14" s="115" customFormat="1" ht="12.75" x14ac:dyDescent="0.2">
      <c r="I69" s="128" t="s">
        <v>367</v>
      </c>
      <c r="J69" s="129" t="s">
        <v>332</v>
      </c>
      <c r="K69" s="143"/>
      <c r="L69" s="143"/>
      <c r="M69" s="10">
        <f>M46</f>
        <v>0</v>
      </c>
      <c r="N69" s="115" t="s">
        <v>333</v>
      </c>
    </row>
    <row r="70" spans="1:14" s="115" customFormat="1" ht="13.5" thickBot="1" x14ac:dyDescent="0.25">
      <c r="J70" s="143"/>
      <c r="K70" s="143"/>
      <c r="L70" s="143"/>
      <c r="M70" s="144">
        <f>SUM(M68:M69)</f>
        <v>0</v>
      </c>
    </row>
    <row r="71" spans="1:14" s="115" customFormat="1" ht="13.5" thickTop="1" x14ac:dyDescent="0.2">
      <c r="A71" s="477" t="s">
        <v>462</v>
      </c>
      <c r="B71" s="477"/>
      <c r="C71" s="477"/>
      <c r="D71" s="477"/>
      <c r="E71" s="477"/>
      <c r="F71" s="477"/>
      <c r="G71" s="477"/>
      <c r="H71" s="477"/>
      <c r="I71" s="477"/>
      <c r="J71" s="477"/>
      <c r="K71" s="477"/>
      <c r="L71" s="477"/>
    </row>
    <row r="72" spans="1:14" s="115" customFormat="1" ht="12.75" x14ac:dyDescent="0.2">
      <c r="A72" s="477"/>
      <c r="B72" s="477"/>
      <c r="C72" s="477"/>
      <c r="D72" s="477"/>
      <c r="E72" s="477"/>
      <c r="F72" s="477"/>
      <c r="G72" s="477"/>
      <c r="H72" s="477"/>
      <c r="I72" s="477"/>
      <c r="J72" s="477"/>
      <c r="K72" s="477"/>
      <c r="L72" s="477"/>
    </row>
    <row r="73" spans="1:14" s="115" customFormat="1" ht="12.75" x14ac:dyDescent="0.2">
      <c r="A73" s="477"/>
      <c r="B73" s="477"/>
      <c r="C73" s="477"/>
      <c r="D73" s="477"/>
      <c r="E73" s="477"/>
      <c r="F73" s="477"/>
      <c r="G73" s="477"/>
      <c r="H73" s="477"/>
      <c r="I73" s="477"/>
      <c r="J73" s="477"/>
      <c r="K73" s="477"/>
      <c r="L73" s="477"/>
    </row>
    <row r="74" spans="1:14" s="115" customFormat="1" ht="12.75" x14ac:dyDescent="0.2">
      <c r="A74" s="477"/>
      <c r="B74" s="477"/>
      <c r="C74" s="477"/>
      <c r="D74" s="477"/>
      <c r="E74" s="477"/>
      <c r="F74" s="477"/>
      <c r="G74" s="477"/>
      <c r="H74" s="477"/>
      <c r="I74" s="477"/>
      <c r="J74" s="477"/>
      <c r="K74" s="477"/>
      <c r="L74" s="477"/>
    </row>
    <row r="75" spans="1:14" s="115" customFormat="1" ht="12.75" x14ac:dyDescent="0.2">
      <c r="A75" s="477"/>
      <c r="B75" s="477"/>
      <c r="C75" s="477"/>
      <c r="D75" s="477"/>
      <c r="E75" s="477"/>
      <c r="F75" s="477"/>
      <c r="G75" s="477"/>
      <c r="H75" s="477"/>
      <c r="I75" s="477"/>
      <c r="J75" s="477"/>
      <c r="K75" s="477"/>
      <c r="L75" s="477"/>
    </row>
    <row r="76" spans="1:14" s="115" customFormat="1" ht="12.75" x14ac:dyDescent="0.2">
      <c r="A76" s="120"/>
    </row>
  </sheetData>
  <mergeCells count="7">
    <mergeCell ref="A71:L75"/>
    <mergeCell ref="H1:M1"/>
    <mergeCell ref="E65:M65"/>
    <mergeCell ref="D6:F6"/>
    <mergeCell ref="H6:J6"/>
    <mergeCell ref="E49:F49"/>
    <mergeCell ref="I49:J4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59999389629810485"/>
  </sheetPr>
  <dimension ref="A1:N97"/>
  <sheetViews>
    <sheetView workbookViewId="0">
      <pane xSplit="2" ySplit="8" topLeftCell="C37" activePane="bottomRight" state="frozenSplit"/>
      <selection pane="topRight" activeCell="C1" sqref="C1"/>
      <selection pane="bottomLeft" activeCell="A8" sqref="A8"/>
      <selection pane="bottomRight" activeCell="P81" sqref="P81"/>
    </sheetView>
  </sheetViews>
  <sheetFormatPr defaultColWidth="8.88671875" defaultRowHeight="15" x14ac:dyDescent="0.2"/>
  <cols>
    <col min="1" max="1" width="18" style="48" customWidth="1"/>
    <col min="2" max="2" width="23" style="48" customWidth="1"/>
    <col min="3" max="3" width="1.88671875" style="48" customWidth="1"/>
    <col min="4" max="4" width="10" style="48" customWidth="1"/>
    <col min="5" max="5" width="11.21875" style="48" customWidth="1"/>
    <col min="6" max="6" width="12.33203125" style="48" customWidth="1"/>
    <col min="7" max="7" width="1.5546875" style="48" customWidth="1"/>
    <col min="8" max="8" width="11.5546875" style="48" customWidth="1"/>
    <col min="9" max="9" width="11" style="48" customWidth="1"/>
    <col min="10" max="10" width="11.6640625" style="48" customWidth="1"/>
    <col min="11" max="11" width="1.109375" style="48" customWidth="1"/>
    <col min="12" max="12" width="3.77734375" style="48" customWidth="1"/>
    <col min="13" max="13" width="8.77734375" style="48" bestFit="1" customWidth="1"/>
    <col min="14" max="16384" width="8.88671875" style="48"/>
  </cols>
  <sheetData>
    <row r="1" spans="1:13" ht="30.75" thickBot="1" x14ac:dyDescent="0.45">
      <c r="H1" s="478" t="s">
        <v>288</v>
      </c>
      <c r="I1" s="479"/>
      <c r="J1" s="479"/>
      <c r="K1" s="479"/>
      <c r="L1" s="479"/>
      <c r="M1" s="480"/>
    </row>
    <row r="2" spans="1:13" ht="19.5" customHeight="1" x14ac:dyDescent="0.4">
      <c r="A2" s="48" t="s">
        <v>460</v>
      </c>
      <c r="H2" s="121"/>
      <c r="I2" s="121"/>
      <c r="J2" s="121"/>
      <c r="K2" s="121"/>
      <c r="L2" s="121"/>
      <c r="M2" s="121"/>
    </row>
    <row r="3" spans="1:13" x14ac:dyDescent="0.2">
      <c r="A3" s="48" t="s">
        <v>22</v>
      </c>
    </row>
    <row r="4" spans="1:13" ht="18" x14ac:dyDescent="0.25">
      <c r="A4" s="20" t="s">
        <v>18</v>
      </c>
    </row>
    <row r="5" spans="1:13" ht="18" x14ac:dyDescent="0.25">
      <c r="A5" s="20" t="str">
        <f>'Ret Contr Input - LEA'!A5</f>
        <v>Password for protected sheet: BOE2024</v>
      </c>
    </row>
    <row r="6" spans="1:13" s="115" customFormat="1" ht="12.75" x14ac:dyDescent="0.2">
      <c r="A6" s="122"/>
      <c r="B6" s="122"/>
      <c r="C6" s="122"/>
      <c r="D6" s="484" t="str">
        <f>'Ret Contr Input - LEA'!D6:F6</f>
        <v>FY2023</v>
      </c>
      <c r="E6" s="484"/>
      <c r="F6" s="484"/>
      <c r="G6" s="122"/>
      <c r="H6" s="484" t="str">
        <f>'Ret Contr Input - LEA'!H6:J6</f>
        <v>FY2024</v>
      </c>
      <c r="I6" s="484"/>
      <c r="J6" s="484"/>
      <c r="K6" s="122"/>
      <c r="L6" s="122"/>
      <c r="M6" s="124" t="str">
        <f>H6</f>
        <v>FY2024</v>
      </c>
    </row>
    <row r="7" spans="1:13" s="115" customFormat="1" ht="12.75" x14ac:dyDescent="0.2">
      <c r="A7" s="123" t="s">
        <v>23</v>
      </c>
      <c r="B7" s="123" t="s">
        <v>24</v>
      </c>
      <c r="C7" s="122"/>
      <c r="D7" s="126" t="s">
        <v>25</v>
      </c>
      <c r="E7" s="126" t="s">
        <v>26</v>
      </c>
      <c r="F7" s="126" t="s">
        <v>5</v>
      </c>
      <c r="G7" s="126"/>
      <c r="H7" s="126" t="s">
        <v>25</v>
      </c>
      <c r="I7" s="126" t="s">
        <v>26</v>
      </c>
      <c r="J7" s="126" t="s">
        <v>5</v>
      </c>
      <c r="K7" s="122"/>
      <c r="L7" s="122"/>
      <c r="M7" s="127" t="s">
        <v>246</v>
      </c>
    </row>
    <row r="8" spans="1:13" s="115" customFormat="1" ht="12.75" x14ac:dyDescent="0.2"/>
    <row r="9" spans="1:13" s="115" customFormat="1" ht="12.75" x14ac:dyDescent="0.2">
      <c r="A9" s="116" t="s">
        <v>289</v>
      </c>
      <c r="B9" s="115" t="s">
        <v>27</v>
      </c>
      <c r="C9" s="116"/>
      <c r="D9" s="117">
        <v>0</v>
      </c>
      <c r="E9" s="117">
        <v>0</v>
      </c>
      <c r="F9" s="118">
        <f>SUM(D9:E9)</f>
        <v>0</v>
      </c>
      <c r="G9" s="118"/>
      <c r="H9" s="117">
        <v>0</v>
      </c>
      <c r="I9" s="117">
        <v>0</v>
      </c>
      <c r="J9" s="118">
        <f>SUM(H9:I9)</f>
        <v>0</v>
      </c>
      <c r="M9" s="117">
        <v>0</v>
      </c>
    </row>
    <row r="10" spans="1:13" s="115" customFormat="1" ht="12.75" x14ac:dyDescent="0.2">
      <c r="A10" s="115" t="s">
        <v>290</v>
      </c>
      <c r="B10" s="115" t="s">
        <v>28</v>
      </c>
      <c r="D10" s="117">
        <v>0</v>
      </c>
      <c r="E10" s="117">
        <v>0</v>
      </c>
      <c r="F10" s="118">
        <f t="shared" ref="F10:F45" si="0">SUM(D10:E10)</f>
        <v>0</v>
      </c>
      <c r="G10" s="118"/>
      <c r="H10" s="117">
        <v>0</v>
      </c>
      <c r="I10" s="117">
        <v>0</v>
      </c>
      <c r="J10" s="118">
        <f t="shared" ref="J10:J45" si="1">SUM(H10:I10)</f>
        <v>0</v>
      </c>
      <c r="M10" s="117">
        <v>0</v>
      </c>
    </row>
    <row r="11" spans="1:13" s="115" customFormat="1" ht="12.75" x14ac:dyDescent="0.2">
      <c r="A11" s="115" t="s">
        <v>291</v>
      </c>
      <c r="B11" s="115" t="s">
        <v>29</v>
      </c>
      <c r="D11" s="117">
        <v>0</v>
      </c>
      <c r="E11" s="117">
        <v>0</v>
      </c>
      <c r="F11" s="118">
        <f t="shared" si="0"/>
        <v>0</v>
      </c>
      <c r="G11" s="118"/>
      <c r="H11" s="117">
        <v>0</v>
      </c>
      <c r="I11" s="117">
        <v>0</v>
      </c>
      <c r="J11" s="118">
        <f t="shared" si="1"/>
        <v>0</v>
      </c>
      <c r="M11" s="117">
        <v>0</v>
      </c>
    </row>
    <row r="12" spans="1:13" s="115" customFormat="1" ht="12.75" x14ac:dyDescent="0.2">
      <c r="A12" s="116" t="s">
        <v>292</v>
      </c>
      <c r="B12" s="115" t="s">
        <v>30</v>
      </c>
      <c r="C12" s="116"/>
      <c r="D12" s="117">
        <v>0</v>
      </c>
      <c r="E12" s="117">
        <v>0</v>
      </c>
      <c r="F12" s="118">
        <f t="shared" si="0"/>
        <v>0</v>
      </c>
      <c r="G12" s="118"/>
      <c r="H12" s="117">
        <v>0</v>
      </c>
      <c r="I12" s="117">
        <v>0</v>
      </c>
      <c r="J12" s="118">
        <f t="shared" si="1"/>
        <v>0</v>
      </c>
      <c r="M12" s="117">
        <v>0</v>
      </c>
    </row>
    <row r="13" spans="1:13" s="115" customFormat="1" ht="12.75" x14ac:dyDescent="0.2">
      <c r="A13" s="115" t="s">
        <v>293</v>
      </c>
      <c r="B13" s="115" t="s">
        <v>31</v>
      </c>
      <c r="D13" s="117">
        <v>0</v>
      </c>
      <c r="E13" s="117">
        <v>0</v>
      </c>
      <c r="F13" s="118">
        <f t="shared" si="0"/>
        <v>0</v>
      </c>
      <c r="G13" s="118"/>
      <c r="H13" s="117">
        <v>0</v>
      </c>
      <c r="I13" s="117">
        <v>0</v>
      </c>
      <c r="J13" s="118">
        <f t="shared" si="1"/>
        <v>0</v>
      </c>
      <c r="M13" s="117">
        <v>0</v>
      </c>
    </row>
    <row r="14" spans="1:13" s="115" customFormat="1" ht="12.75" x14ac:dyDescent="0.2">
      <c r="A14" s="115" t="s">
        <v>294</v>
      </c>
      <c r="B14" s="115" t="s">
        <v>32</v>
      </c>
      <c r="D14" s="117">
        <v>0</v>
      </c>
      <c r="E14" s="117">
        <v>0</v>
      </c>
      <c r="F14" s="118">
        <f t="shared" si="0"/>
        <v>0</v>
      </c>
      <c r="G14" s="118"/>
      <c r="H14" s="117">
        <v>0</v>
      </c>
      <c r="I14" s="117">
        <v>0</v>
      </c>
      <c r="J14" s="118">
        <f t="shared" si="1"/>
        <v>0</v>
      </c>
      <c r="M14" s="117">
        <v>0</v>
      </c>
    </row>
    <row r="15" spans="1:13" s="115" customFormat="1" ht="12.75" x14ac:dyDescent="0.2">
      <c r="A15" s="115" t="s">
        <v>295</v>
      </c>
      <c r="B15" s="115" t="s">
        <v>33</v>
      </c>
      <c r="D15" s="117">
        <v>0</v>
      </c>
      <c r="E15" s="117">
        <v>0</v>
      </c>
      <c r="F15" s="118">
        <f t="shared" si="0"/>
        <v>0</v>
      </c>
      <c r="G15" s="118"/>
      <c r="H15" s="117">
        <v>0</v>
      </c>
      <c r="I15" s="117">
        <v>0</v>
      </c>
      <c r="J15" s="118">
        <f t="shared" si="1"/>
        <v>0</v>
      </c>
      <c r="M15" s="117">
        <v>0</v>
      </c>
    </row>
    <row r="16" spans="1:13" s="115" customFormat="1" ht="12.75" x14ac:dyDescent="0.2">
      <c r="A16" s="115" t="s">
        <v>296</v>
      </c>
      <c r="B16" s="115" t="s">
        <v>34</v>
      </c>
      <c r="D16" s="117">
        <v>0</v>
      </c>
      <c r="E16" s="117">
        <v>0</v>
      </c>
      <c r="F16" s="118">
        <f t="shared" si="0"/>
        <v>0</v>
      </c>
      <c r="G16" s="118"/>
      <c r="H16" s="117">
        <v>0</v>
      </c>
      <c r="I16" s="117">
        <v>0</v>
      </c>
      <c r="J16" s="118">
        <f t="shared" si="1"/>
        <v>0</v>
      </c>
      <c r="M16" s="117">
        <v>0</v>
      </c>
    </row>
    <row r="17" spans="1:13" s="115" customFormat="1" ht="12.75" x14ac:dyDescent="0.2">
      <c r="A17" s="115" t="s">
        <v>297</v>
      </c>
      <c r="B17" s="115" t="s">
        <v>35</v>
      </c>
      <c r="D17" s="117">
        <v>0</v>
      </c>
      <c r="E17" s="117">
        <v>0</v>
      </c>
      <c r="F17" s="118">
        <f t="shared" si="0"/>
        <v>0</v>
      </c>
      <c r="G17" s="118"/>
      <c r="H17" s="117">
        <v>0</v>
      </c>
      <c r="I17" s="117">
        <v>0</v>
      </c>
      <c r="J17" s="118">
        <f t="shared" si="1"/>
        <v>0</v>
      </c>
      <c r="M17" s="117">
        <v>0</v>
      </c>
    </row>
    <row r="18" spans="1:13" s="115" customFormat="1" ht="12.75" x14ac:dyDescent="0.2">
      <c r="A18" s="115" t="s">
        <v>298</v>
      </c>
      <c r="B18" s="115" t="s">
        <v>36</v>
      </c>
      <c r="D18" s="117">
        <v>0</v>
      </c>
      <c r="E18" s="117">
        <v>0</v>
      </c>
      <c r="F18" s="118">
        <f t="shared" si="0"/>
        <v>0</v>
      </c>
      <c r="G18" s="118"/>
      <c r="H18" s="117">
        <v>0</v>
      </c>
      <c r="I18" s="117">
        <v>0</v>
      </c>
      <c r="J18" s="118">
        <f t="shared" si="1"/>
        <v>0</v>
      </c>
      <c r="M18" s="117">
        <v>0</v>
      </c>
    </row>
    <row r="19" spans="1:13" s="115" customFormat="1" ht="12.75" x14ac:dyDescent="0.2">
      <c r="A19" s="115" t="s">
        <v>299</v>
      </c>
      <c r="B19" s="115" t="s">
        <v>37</v>
      </c>
      <c r="D19" s="117">
        <v>0</v>
      </c>
      <c r="E19" s="117">
        <v>0</v>
      </c>
      <c r="F19" s="118">
        <f t="shared" si="0"/>
        <v>0</v>
      </c>
      <c r="G19" s="118"/>
      <c r="H19" s="117">
        <v>0</v>
      </c>
      <c r="I19" s="117">
        <v>0</v>
      </c>
      <c r="J19" s="118">
        <f t="shared" si="1"/>
        <v>0</v>
      </c>
      <c r="M19" s="117">
        <v>0</v>
      </c>
    </row>
    <row r="20" spans="1:13" s="115" customFormat="1" ht="12.75" x14ac:dyDescent="0.2">
      <c r="A20" s="115" t="s">
        <v>300</v>
      </c>
      <c r="B20" s="115" t="s">
        <v>38</v>
      </c>
      <c r="D20" s="117">
        <v>0</v>
      </c>
      <c r="E20" s="117">
        <v>0</v>
      </c>
      <c r="F20" s="118">
        <f t="shared" si="0"/>
        <v>0</v>
      </c>
      <c r="G20" s="118"/>
      <c r="H20" s="117">
        <v>0</v>
      </c>
      <c r="I20" s="117">
        <v>0</v>
      </c>
      <c r="J20" s="118">
        <f t="shared" si="1"/>
        <v>0</v>
      </c>
      <c r="M20" s="117">
        <v>0</v>
      </c>
    </row>
    <row r="21" spans="1:13" s="115" customFormat="1" ht="12.75" x14ac:dyDescent="0.2">
      <c r="A21" s="115" t="s">
        <v>301</v>
      </c>
      <c r="B21" s="115" t="s">
        <v>39</v>
      </c>
      <c r="D21" s="117">
        <v>0</v>
      </c>
      <c r="E21" s="117">
        <v>0</v>
      </c>
      <c r="F21" s="118">
        <f t="shared" si="0"/>
        <v>0</v>
      </c>
      <c r="G21" s="118"/>
      <c r="H21" s="117">
        <v>0</v>
      </c>
      <c r="I21" s="117">
        <v>0</v>
      </c>
      <c r="J21" s="118">
        <f t="shared" si="1"/>
        <v>0</v>
      </c>
      <c r="M21" s="117">
        <v>0</v>
      </c>
    </row>
    <row r="22" spans="1:13" s="115" customFormat="1" ht="12.75" x14ac:dyDescent="0.2">
      <c r="A22" s="115" t="s">
        <v>302</v>
      </c>
      <c r="B22" s="115" t="s">
        <v>40</v>
      </c>
      <c r="D22" s="117">
        <v>0</v>
      </c>
      <c r="E22" s="117">
        <v>0</v>
      </c>
      <c r="F22" s="118">
        <f t="shared" si="0"/>
        <v>0</v>
      </c>
      <c r="G22" s="118"/>
      <c r="H22" s="117">
        <v>0</v>
      </c>
      <c r="I22" s="117">
        <v>0</v>
      </c>
      <c r="J22" s="118">
        <f t="shared" si="1"/>
        <v>0</v>
      </c>
      <c r="M22" s="117">
        <v>0</v>
      </c>
    </row>
    <row r="23" spans="1:13" s="115" customFormat="1" ht="12.75" x14ac:dyDescent="0.2">
      <c r="A23" s="115" t="s">
        <v>303</v>
      </c>
      <c r="B23" s="115" t="s">
        <v>41</v>
      </c>
      <c r="D23" s="117">
        <v>0</v>
      </c>
      <c r="E23" s="117">
        <v>0</v>
      </c>
      <c r="F23" s="118">
        <f t="shared" si="0"/>
        <v>0</v>
      </c>
      <c r="G23" s="118"/>
      <c r="H23" s="117">
        <v>0</v>
      </c>
      <c r="I23" s="117">
        <v>0</v>
      </c>
      <c r="J23" s="118">
        <f t="shared" si="1"/>
        <v>0</v>
      </c>
      <c r="M23" s="117">
        <v>0</v>
      </c>
    </row>
    <row r="24" spans="1:13" s="115" customFormat="1" ht="12.75" x14ac:dyDescent="0.2">
      <c r="A24" s="115" t="s">
        <v>304</v>
      </c>
      <c r="B24" s="115" t="s">
        <v>42</v>
      </c>
      <c r="D24" s="117">
        <v>0</v>
      </c>
      <c r="E24" s="117">
        <v>0</v>
      </c>
      <c r="F24" s="118">
        <f t="shared" si="0"/>
        <v>0</v>
      </c>
      <c r="G24" s="118"/>
      <c r="H24" s="117">
        <v>0</v>
      </c>
      <c r="I24" s="117">
        <v>0</v>
      </c>
      <c r="J24" s="118">
        <f t="shared" si="1"/>
        <v>0</v>
      </c>
      <c r="M24" s="117">
        <v>0</v>
      </c>
    </row>
    <row r="25" spans="1:13" s="115" customFormat="1" ht="12.75" x14ac:dyDescent="0.2">
      <c r="A25" s="115" t="s">
        <v>305</v>
      </c>
      <c r="B25" s="115" t="s">
        <v>43</v>
      </c>
      <c r="D25" s="117">
        <v>0</v>
      </c>
      <c r="E25" s="117">
        <v>0</v>
      </c>
      <c r="F25" s="118">
        <f t="shared" si="0"/>
        <v>0</v>
      </c>
      <c r="G25" s="118"/>
      <c r="H25" s="117">
        <v>0</v>
      </c>
      <c r="I25" s="117">
        <v>0</v>
      </c>
      <c r="J25" s="118">
        <f t="shared" si="1"/>
        <v>0</v>
      </c>
      <c r="M25" s="117">
        <v>0</v>
      </c>
    </row>
    <row r="26" spans="1:13" s="115" customFormat="1" ht="12.75" x14ac:dyDescent="0.2">
      <c r="A26" s="115" t="s">
        <v>306</v>
      </c>
      <c r="B26" s="115" t="s">
        <v>44</v>
      </c>
      <c r="D26" s="117">
        <v>0</v>
      </c>
      <c r="E26" s="117">
        <v>0</v>
      </c>
      <c r="F26" s="118">
        <f t="shared" si="0"/>
        <v>0</v>
      </c>
      <c r="G26" s="118"/>
      <c r="H26" s="117">
        <v>0</v>
      </c>
      <c r="I26" s="117">
        <v>0</v>
      </c>
      <c r="J26" s="118">
        <f t="shared" si="1"/>
        <v>0</v>
      </c>
      <c r="M26" s="117">
        <v>0</v>
      </c>
    </row>
    <row r="27" spans="1:13" s="115" customFormat="1" ht="12.75" x14ac:dyDescent="0.2">
      <c r="D27" s="207"/>
      <c r="E27" s="207"/>
      <c r="F27" s="118"/>
      <c r="G27" s="119"/>
      <c r="H27" s="207"/>
      <c r="I27" s="207"/>
      <c r="J27" s="118"/>
      <c r="M27" s="207"/>
    </row>
    <row r="28" spans="1:13" s="115" customFormat="1" ht="12.75" x14ac:dyDescent="0.2">
      <c r="A28" s="116" t="s">
        <v>307</v>
      </c>
      <c r="B28" s="115" t="s">
        <v>27</v>
      </c>
      <c r="C28" s="116"/>
      <c r="D28" s="117">
        <v>0</v>
      </c>
      <c r="E28" s="117">
        <v>0</v>
      </c>
      <c r="F28" s="118">
        <f t="shared" si="0"/>
        <v>0</v>
      </c>
      <c r="G28" s="118"/>
      <c r="H28" s="117">
        <v>0</v>
      </c>
      <c r="I28" s="117">
        <v>0</v>
      </c>
      <c r="J28" s="118">
        <f t="shared" si="1"/>
        <v>0</v>
      </c>
      <c r="M28" s="117">
        <v>0</v>
      </c>
    </row>
    <row r="29" spans="1:13" s="115" customFormat="1" ht="12.75" x14ac:dyDescent="0.2">
      <c r="A29" s="115" t="s">
        <v>308</v>
      </c>
      <c r="B29" s="115" t="s">
        <v>28</v>
      </c>
      <c r="D29" s="117">
        <v>0</v>
      </c>
      <c r="E29" s="117">
        <v>0</v>
      </c>
      <c r="F29" s="118">
        <f t="shared" si="0"/>
        <v>0</v>
      </c>
      <c r="G29" s="118"/>
      <c r="H29" s="117">
        <v>0</v>
      </c>
      <c r="I29" s="117">
        <v>0</v>
      </c>
      <c r="J29" s="118">
        <f t="shared" si="1"/>
        <v>0</v>
      </c>
      <c r="M29" s="117">
        <v>0</v>
      </c>
    </row>
    <row r="30" spans="1:13" s="115" customFormat="1" ht="12.75" x14ac:dyDescent="0.2">
      <c r="A30" s="115" t="s">
        <v>309</v>
      </c>
      <c r="B30" s="115" t="s">
        <v>29</v>
      </c>
      <c r="D30" s="117">
        <v>0</v>
      </c>
      <c r="E30" s="117">
        <v>0</v>
      </c>
      <c r="F30" s="118">
        <f t="shared" si="0"/>
        <v>0</v>
      </c>
      <c r="G30" s="118"/>
      <c r="H30" s="117">
        <v>0</v>
      </c>
      <c r="I30" s="117">
        <v>0</v>
      </c>
      <c r="J30" s="118">
        <f t="shared" si="1"/>
        <v>0</v>
      </c>
      <c r="M30" s="117">
        <v>0</v>
      </c>
    </row>
    <row r="31" spans="1:13" s="115" customFormat="1" ht="12.75" x14ac:dyDescent="0.2">
      <c r="A31" s="116" t="s">
        <v>310</v>
      </c>
      <c r="B31" s="115" t="s">
        <v>30</v>
      </c>
      <c r="C31" s="116"/>
      <c r="D31" s="117">
        <v>0</v>
      </c>
      <c r="E31" s="117">
        <v>0</v>
      </c>
      <c r="F31" s="118">
        <f t="shared" si="0"/>
        <v>0</v>
      </c>
      <c r="G31" s="118"/>
      <c r="H31" s="117">
        <v>0</v>
      </c>
      <c r="I31" s="117">
        <v>0</v>
      </c>
      <c r="J31" s="118">
        <f t="shared" si="1"/>
        <v>0</v>
      </c>
      <c r="M31" s="117">
        <v>0</v>
      </c>
    </row>
    <row r="32" spans="1:13" s="115" customFormat="1" ht="12.75" x14ac:dyDescent="0.2">
      <c r="A32" s="115" t="s">
        <v>311</v>
      </c>
      <c r="B32" s="115" t="s">
        <v>31</v>
      </c>
      <c r="D32" s="117">
        <v>0</v>
      </c>
      <c r="E32" s="117">
        <v>0</v>
      </c>
      <c r="F32" s="118">
        <f t="shared" si="0"/>
        <v>0</v>
      </c>
      <c r="G32" s="118"/>
      <c r="H32" s="117">
        <v>0</v>
      </c>
      <c r="I32" s="117">
        <v>0</v>
      </c>
      <c r="J32" s="118">
        <f t="shared" si="1"/>
        <v>0</v>
      </c>
      <c r="M32" s="117">
        <v>0</v>
      </c>
    </row>
    <row r="33" spans="1:13" s="115" customFormat="1" ht="12.75" x14ac:dyDescent="0.2">
      <c r="A33" s="115" t="s">
        <v>312</v>
      </c>
      <c r="B33" s="115" t="s">
        <v>32</v>
      </c>
      <c r="D33" s="117">
        <v>0</v>
      </c>
      <c r="E33" s="117">
        <v>0</v>
      </c>
      <c r="F33" s="118">
        <f t="shared" si="0"/>
        <v>0</v>
      </c>
      <c r="G33" s="118"/>
      <c r="H33" s="117">
        <v>0</v>
      </c>
      <c r="I33" s="117">
        <v>0</v>
      </c>
      <c r="J33" s="118">
        <f t="shared" si="1"/>
        <v>0</v>
      </c>
      <c r="M33" s="117">
        <v>0</v>
      </c>
    </row>
    <row r="34" spans="1:13" s="115" customFormat="1" ht="12.75" x14ac:dyDescent="0.2">
      <c r="A34" s="115" t="s">
        <v>313</v>
      </c>
      <c r="B34" s="115" t="s">
        <v>33</v>
      </c>
      <c r="D34" s="117">
        <v>0</v>
      </c>
      <c r="E34" s="117">
        <v>0</v>
      </c>
      <c r="F34" s="118">
        <f t="shared" si="0"/>
        <v>0</v>
      </c>
      <c r="G34" s="118"/>
      <c r="H34" s="117">
        <v>0</v>
      </c>
      <c r="I34" s="117">
        <v>0</v>
      </c>
      <c r="J34" s="118">
        <f t="shared" si="1"/>
        <v>0</v>
      </c>
      <c r="M34" s="117">
        <v>0</v>
      </c>
    </row>
    <row r="35" spans="1:13" s="115" customFormat="1" ht="12.75" x14ac:dyDescent="0.2">
      <c r="A35" s="115" t="s">
        <v>314</v>
      </c>
      <c r="B35" s="115" t="s">
        <v>34</v>
      </c>
      <c r="D35" s="117">
        <v>0</v>
      </c>
      <c r="E35" s="117">
        <v>0</v>
      </c>
      <c r="F35" s="118">
        <f t="shared" si="0"/>
        <v>0</v>
      </c>
      <c r="G35" s="118"/>
      <c r="H35" s="117">
        <v>0</v>
      </c>
      <c r="I35" s="117">
        <v>0</v>
      </c>
      <c r="J35" s="118">
        <f t="shared" si="1"/>
        <v>0</v>
      </c>
      <c r="M35" s="117">
        <v>0</v>
      </c>
    </row>
    <row r="36" spans="1:13" s="115" customFormat="1" ht="12.75" x14ac:dyDescent="0.2">
      <c r="A36" s="115" t="s">
        <v>315</v>
      </c>
      <c r="B36" s="115" t="s">
        <v>35</v>
      </c>
      <c r="D36" s="117">
        <v>0</v>
      </c>
      <c r="E36" s="117">
        <v>0</v>
      </c>
      <c r="F36" s="118">
        <f t="shared" si="0"/>
        <v>0</v>
      </c>
      <c r="G36" s="118"/>
      <c r="H36" s="117">
        <v>0</v>
      </c>
      <c r="I36" s="117">
        <v>0</v>
      </c>
      <c r="J36" s="118">
        <f t="shared" si="1"/>
        <v>0</v>
      </c>
      <c r="M36" s="117">
        <v>0</v>
      </c>
    </row>
    <row r="37" spans="1:13" s="115" customFormat="1" ht="12.75" x14ac:dyDescent="0.2">
      <c r="A37" s="115" t="s">
        <v>316</v>
      </c>
      <c r="B37" s="115" t="s">
        <v>36</v>
      </c>
      <c r="D37" s="117">
        <v>0</v>
      </c>
      <c r="E37" s="117">
        <v>0</v>
      </c>
      <c r="F37" s="118">
        <f t="shared" si="0"/>
        <v>0</v>
      </c>
      <c r="G37" s="118"/>
      <c r="H37" s="117">
        <v>0</v>
      </c>
      <c r="I37" s="117">
        <v>0</v>
      </c>
      <c r="J37" s="118">
        <f t="shared" si="1"/>
        <v>0</v>
      </c>
      <c r="M37" s="117">
        <v>0</v>
      </c>
    </row>
    <row r="38" spans="1:13" s="115" customFormat="1" ht="12.75" x14ac:dyDescent="0.2">
      <c r="A38" s="115" t="s">
        <v>317</v>
      </c>
      <c r="B38" s="115" t="s">
        <v>37</v>
      </c>
      <c r="D38" s="117">
        <v>0</v>
      </c>
      <c r="E38" s="117">
        <v>0</v>
      </c>
      <c r="F38" s="118">
        <f t="shared" si="0"/>
        <v>0</v>
      </c>
      <c r="G38" s="118"/>
      <c r="H38" s="117">
        <v>0</v>
      </c>
      <c r="I38" s="117">
        <v>0</v>
      </c>
      <c r="J38" s="118">
        <f t="shared" si="1"/>
        <v>0</v>
      </c>
      <c r="M38" s="117">
        <v>0</v>
      </c>
    </row>
    <row r="39" spans="1:13" s="115" customFormat="1" ht="12.75" x14ac:dyDescent="0.2">
      <c r="A39" s="115" t="s">
        <v>318</v>
      </c>
      <c r="B39" s="115" t="s">
        <v>38</v>
      </c>
      <c r="D39" s="117">
        <v>0</v>
      </c>
      <c r="E39" s="117">
        <v>0</v>
      </c>
      <c r="F39" s="118">
        <f t="shared" si="0"/>
        <v>0</v>
      </c>
      <c r="G39" s="118"/>
      <c r="H39" s="117">
        <v>0</v>
      </c>
      <c r="I39" s="117">
        <v>0</v>
      </c>
      <c r="J39" s="118">
        <f t="shared" si="1"/>
        <v>0</v>
      </c>
      <c r="M39" s="117">
        <v>0</v>
      </c>
    </row>
    <row r="40" spans="1:13" s="115" customFormat="1" ht="12.75" x14ac:dyDescent="0.2">
      <c r="A40" s="115" t="s">
        <v>319</v>
      </c>
      <c r="B40" s="115" t="s">
        <v>39</v>
      </c>
      <c r="D40" s="117">
        <v>0</v>
      </c>
      <c r="E40" s="117">
        <v>0</v>
      </c>
      <c r="F40" s="118">
        <f t="shared" si="0"/>
        <v>0</v>
      </c>
      <c r="G40" s="118"/>
      <c r="H40" s="117">
        <v>0</v>
      </c>
      <c r="I40" s="117">
        <v>0</v>
      </c>
      <c r="J40" s="118">
        <f t="shared" si="1"/>
        <v>0</v>
      </c>
      <c r="M40" s="117">
        <v>0</v>
      </c>
    </row>
    <row r="41" spans="1:13" s="115" customFormat="1" ht="12.75" x14ac:dyDescent="0.2">
      <c r="A41" s="115" t="s">
        <v>320</v>
      </c>
      <c r="B41" s="115" t="s">
        <v>40</v>
      </c>
      <c r="D41" s="117">
        <v>0</v>
      </c>
      <c r="E41" s="117">
        <v>0</v>
      </c>
      <c r="F41" s="118">
        <f t="shared" si="0"/>
        <v>0</v>
      </c>
      <c r="G41" s="118"/>
      <c r="H41" s="117">
        <v>0</v>
      </c>
      <c r="I41" s="117">
        <v>0</v>
      </c>
      <c r="J41" s="118">
        <f t="shared" si="1"/>
        <v>0</v>
      </c>
      <c r="M41" s="117">
        <v>0</v>
      </c>
    </row>
    <row r="42" spans="1:13" s="115" customFormat="1" ht="12.75" x14ac:dyDescent="0.2">
      <c r="A42" s="115" t="s">
        <v>321</v>
      </c>
      <c r="B42" s="115" t="s">
        <v>41</v>
      </c>
      <c r="D42" s="117">
        <v>0</v>
      </c>
      <c r="E42" s="117">
        <v>0</v>
      </c>
      <c r="F42" s="118">
        <f t="shared" si="0"/>
        <v>0</v>
      </c>
      <c r="G42" s="118"/>
      <c r="H42" s="117">
        <v>0</v>
      </c>
      <c r="I42" s="117">
        <v>0</v>
      </c>
      <c r="J42" s="118">
        <f t="shared" si="1"/>
        <v>0</v>
      </c>
      <c r="M42" s="117">
        <v>0</v>
      </c>
    </row>
    <row r="43" spans="1:13" s="115" customFormat="1" ht="12.75" x14ac:dyDescent="0.2">
      <c r="A43" s="115" t="s">
        <v>322</v>
      </c>
      <c r="B43" s="115" t="s">
        <v>42</v>
      </c>
      <c r="D43" s="117">
        <v>0</v>
      </c>
      <c r="E43" s="117">
        <v>0</v>
      </c>
      <c r="F43" s="118">
        <f t="shared" si="0"/>
        <v>0</v>
      </c>
      <c r="G43" s="118"/>
      <c r="H43" s="117">
        <v>0</v>
      </c>
      <c r="I43" s="117">
        <v>0</v>
      </c>
      <c r="J43" s="118">
        <f t="shared" si="1"/>
        <v>0</v>
      </c>
      <c r="M43" s="117">
        <v>0</v>
      </c>
    </row>
    <row r="44" spans="1:13" s="115" customFormat="1" ht="12.75" x14ac:dyDescent="0.2">
      <c r="A44" s="115" t="s">
        <v>323</v>
      </c>
      <c r="B44" s="115" t="s">
        <v>43</v>
      </c>
      <c r="D44" s="117">
        <v>0</v>
      </c>
      <c r="E44" s="117">
        <v>0</v>
      </c>
      <c r="F44" s="118">
        <f t="shared" si="0"/>
        <v>0</v>
      </c>
      <c r="G44" s="118"/>
      <c r="H44" s="117">
        <v>0</v>
      </c>
      <c r="I44" s="117">
        <v>0</v>
      </c>
      <c r="J44" s="118">
        <f t="shared" si="1"/>
        <v>0</v>
      </c>
      <c r="M44" s="117">
        <v>0</v>
      </c>
    </row>
    <row r="45" spans="1:13" s="115" customFormat="1" ht="12.75" x14ac:dyDescent="0.2">
      <c r="A45" s="115" t="s">
        <v>324</v>
      </c>
      <c r="B45" s="115" t="s">
        <v>44</v>
      </c>
      <c r="D45" s="117">
        <v>0</v>
      </c>
      <c r="E45" s="117">
        <v>0</v>
      </c>
      <c r="F45" s="118">
        <f t="shared" si="0"/>
        <v>0</v>
      </c>
      <c r="G45" s="118"/>
      <c r="H45" s="117">
        <v>0</v>
      </c>
      <c r="I45" s="117">
        <v>0</v>
      </c>
      <c r="J45" s="118">
        <f t="shared" si="1"/>
        <v>0</v>
      </c>
      <c r="M45" s="117">
        <v>0</v>
      </c>
    </row>
    <row r="46" spans="1:13" s="115" customFormat="1" ht="12.75" x14ac:dyDescent="0.2">
      <c r="D46" s="207"/>
      <c r="E46" s="207"/>
      <c r="F46" s="119"/>
      <c r="G46" s="119"/>
      <c r="H46" s="207"/>
      <c r="I46" s="207"/>
      <c r="J46" s="119"/>
      <c r="M46" s="207"/>
    </row>
    <row r="47" spans="1:13" s="115" customFormat="1" ht="12.75" x14ac:dyDescent="0.2">
      <c r="A47" s="116" t="s">
        <v>500</v>
      </c>
      <c r="B47" s="115" t="s">
        <v>27</v>
      </c>
      <c r="D47" s="117">
        <v>0</v>
      </c>
      <c r="E47" s="117">
        <v>0</v>
      </c>
      <c r="F47" s="118">
        <f t="shared" ref="F47:F64" si="2">SUM(D47:E47)</f>
        <v>0</v>
      </c>
      <c r="G47" s="118"/>
      <c r="H47" s="117">
        <v>0</v>
      </c>
      <c r="I47" s="117">
        <v>0</v>
      </c>
      <c r="J47" s="118">
        <f t="shared" ref="J47:J64" si="3">SUM(H47:I47)</f>
        <v>0</v>
      </c>
      <c r="M47" s="117">
        <v>0</v>
      </c>
    </row>
    <row r="48" spans="1:13" s="115" customFormat="1" ht="12.75" x14ac:dyDescent="0.2">
      <c r="A48" s="115" t="s">
        <v>501</v>
      </c>
      <c r="B48" s="115" t="s">
        <v>28</v>
      </c>
      <c r="D48" s="117">
        <v>0</v>
      </c>
      <c r="E48" s="117">
        <v>0</v>
      </c>
      <c r="F48" s="118">
        <f t="shared" si="2"/>
        <v>0</v>
      </c>
      <c r="G48" s="118"/>
      <c r="H48" s="117">
        <v>0</v>
      </c>
      <c r="I48" s="117">
        <v>0</v>
      </c>
      <c r="J48" s="118">
        <f t="shared" si="3"/>
        <v>0</v>
      </c>
      <c r="M48" s="117">
        <v>0</v>
      </c>
    </row>
    <row r="49" spans="1:13" s="115" customFormat="1" ht="12.75" x14ac:dyDescent="0.2">
      <c r="A49" s="115" t="s">
        <v>502</v>
      </c>
      <c r="B49" s="115" t="s">
        <v>29</v>
      </c>
      <c r="D49" s="117">
        <v>0</v>
      </c>
      <c r="E49" s="117">
        <v>0</v>
      </c>
      <c r="F49" s="118">
        <f t="shared" si="2"/>
        <v>0</v>
      </c>
      <c r="G49" s="118"/>
      <c r="H49" s="117">
        <v>0</v>
      </c>
      <c r="I49" s="117">
        <v>0</v>
      </c>
      <c r="J49" s="118">
        <f t="shared" si="3"/>
        <v>0</v>
      </c>
      <c r="M49" s="117">
        <v>0</v>
      </c>
    </row>
    <row r="50" spans="1:13" s="115" customFormat="1" ht="12.75" x14ac:dyDescent="0.2">
      <c r="A50" s="116" t="s">
        <v>503</v>
      </c>
      <c r="B50" s="115" t="s">
        <v>30</v>
      </c>
      <c r="D50" s="117">
        <v>0</v>
      </c>
      <c r="E50" s="117">
        <v>0</v>
      </c>
      <c r="F50" s="118">
        <f t="shared" si="2"/>
        <v>0</v>
      </c>
      <c r="G50" s="118"/>
      <c r="H50" s="117">
        <v>0</v>
      </c>
      <c r="I50" s="117">
        <v>0</v>
      </c>
      <c r="J50" s="118">
        <f t="shared" si="3"/>
        <v>0</v>
      </c>
      <c r="M50" s="117">
        <v>0</v>
      </c>
    </row>
    <row r="51" spans="1:13" s="115" customFormat="1" ht="12.75" x14ac:dyDescent="0.2">
      <c r="A51" s="115" t="s">
        <v>504</v>
      </c>
      <c r="B51" s="115" t="s">
        <v>31</v>
      </c>
      <c r="D51" s="117">
        <v>0</v>
      </c>
      <c r="E51" s="117">
        <v>0</v>
      </c>
      <c r="F51" s="118">
        <f t="shared" si="2"/>
        <v>0</v>
      </c>
      <c r="G51" s="118"/>
      <c r="H51" s="117">
        <v>0</v>
      </c>
      <c r="I51" s="117">
        <v>0</v>
      </c>
      <c r="J51" s="118">
        <f t="shared" si="3"/>
        <v>0</v>
      </c>
      <c r="M51" s="117">
        <v>0</v>
      </c>
    </row>
    <row r="52" spans="1:13" s="115" customFormat="1" ht="12.75" x14ac:dyDescent="0.2">
      <c r="A52" s="115" t="s">
        <v>505</v>
      </c>
      <c r="B52" s="115" t="s">
        <v>32</v>
      </c>
      <c r="D52" s="117">
        <v>0</v>
      </c>
      <c r="E52" s="117">
        <v>0</v>
      </c>
      <c r="F52" s="118">
        <f t="shared" si="2"/>
        <v>0</v>
      </c>
      <c r="G52" s="118"/>
      <c r="H52" s="117">
        <v>0</v>
      </c>
      <c r="I52" s="117">
        <v>0</v>
      </c>
      <c r="J52" s="118">
        <f t="shared" si="3"/>
        <v>0</v>
      </c>
      <c r="M52" s="117">
        <v>0</v>
      </c>
    </row>
    <row r="53" spans="1:13" s="115" customFormat="1" ht="12.75" x14ac:dyDescent="0.2">
      <c r="A53" s="115" t="s">
        <v>506</v>
      </c>
      <c r="B53" s="115" t="s">
        <v>33</v>
      </c>
      <c r="D53" s="117">
        <v>0</v>
      </c>
      <c r="E53" s="117">
        <v>0</v>
      </c>
      <c r="F53" s="118">
        <f t="shared" si="2"/>
        <v>0</v>
      </c>
      <c r="G53" s="118"/>
      <c r="H53" s="117">
        <v>0</v>
      </c>
      <c r="I53" s="117">
        <v>0</v>
      </c>
      <c r="J53" s="118">
        <f t="shared" si="3"/>
        <v>0</v>
      </c>
      <c r="M53" s="117">
        <v>0</v>
      </c>
    </row>
    <row r="54" spans="1:13" s="115" customFormat="1" ht="12.75" x14ac:dyDescent="0.2">
      <c r="A54" s="115" t="s">
        <v>507</v>
      </c>
      <c r="B54" s="115" t="s">
        <v>34</v>
      </c>
      <c r="D54" s="117">
        <v>0</v>
      </c>
      <c r="E54" s="117">
        <v>0</v>
      </c>
      <c r="F54" s="118">
        <f t="shared" si="2"/>
        <v>0</v>
      </c>
      <c r="G54" s="118"/>
      <c r="H54" s="117">
        <v>0</v>
      </c>
      <c r="I54" s="117">
        <v>0</v>
      </c>
      <c r="J54" s="118">
        <f t="shared" si="3"/>
        <v>0</v>
      </c>
      <c r="M54" s="117">
        <v>0</v>
      </c>
    </row>
    <row r="55" spans="1:13" s="115" customFormat="1" ht="12.75" x14ac:dyDescent="0.2">
      <c r="A55" s="115" t="s">
        <v>508</v>
      </c>
      <c r="B55" s="115" t="s">
        <v>35</v>
      </c>
      <c r="D55" s="117">
        <v>0</v>
      </c>
      <c r="E55" s="117">
        <v>0</v>
      </c>
      <c r="F55" s="118">
        <f t="shared" si="2"/>
        <v>0</v>
      </c>
      <c r="G55" s="118"/>
      <c r="H55" s="117">
        <v>0</v>
      </c>
      <c r="I55" s="117">
        <v>0</v>
      </c>
      <c r="J55" s="118">
        <f t="shared" si="3"/>
        <v>0</v>
      </c>
      <c r="M55" s="117">
        <v>0</v>
      </c>
    </row>
    <row r="56" spans="1:13" s="115" customFormat="1" ht="12.75" x14ac:dyDescent="0.2">
      <c r="A56" s="115" t="s">
        <v>509</v>
      </c>
      <c r="B56" s="115" t="s">
        <v>36</v>
      </c>
      <c r="D56" s="117">
        <v>0</v>
      </c>
      <c r="E56" s="117">
        <v>0</v>
      </c>
      <c r="F56" s="118">
        <f t="shared" si="2"/>
        <v>0</v>
      </c>
      <c r="G56" s="118"/>
      <c r="H56" s="117">
        <v>0</v>
      </c>
      <c r="I56" s="117">
        <v>0</v>
      </c>
      <c r="J56" s="118">
        <f t="shared" si="3"/>
        <v>0</v>
      </c>
      <c r="M56" s="117">
        <v>0</v>
      </c>
    </row>
    <row r="57" spans="1:13" s="115" customFormat="1" ht="12.75" x14ac:dyDescent="0.2">
      <c r="A57" s="115" t="s">
        <v>510</v>
      </c>
      <c r="B57" s="115" t="s">
        <v>37</v>
      </c>
      <c r="D57" s="117">
        <v>0</v>
      </c>
      <c r="E57" s="117">
        <v>0</v>
      </c>
      <c r="F57" s="118">
        <f t="shared" si="2"/>
        <v>0</v>
      </c>
      <c r="G57" s="118"/>
      <c r="H57" s="117">
        <v>0</v>
      </c>
      <c r="I57" s="117">
        <v>0</v>
      </c>
      <c r="J57" s="118">
        <f t="shared" si="3"/>
        <v>0</v>
      </c>
      <c r="M57" s="117">
        <v>0</v>
      </c>
    </row>
    <row r="58" spans="1:13" s="115" customFormat="1" ht="12.75" x14ac:dyDescent="0.2">
      <c r="A58" s="115" t="s">
        <v>511</v>
      </c>
      <c r="B58" s="115" t="s">
        <v>38</v>
      </c>
      <c r="D58" s="117">
        <v>0</v>
      </c>
      <c r="E58" s="117">
        <v>0</v>
      </c>
      <c r="F58" s="118">
        <f t="shared" si="2"/>
        <v>0</v>
      </c>
      <c r="G58" s="118"/>
      <c r="H58" s="117">
        <v>0</v>
      </c>
      <c r="I58" s="117">
        <v>0</v>
      </c>
      <c r="J58" s="118">
        <f t="shared" si="3"/>
        <v>0</v>
      </c>
      <c r="M58" s="117">
        <v>0</v>
      </c>
    </row>
    <row r="59" spans="1:13" s="115" customFormat="1" ht="12.75" x14ac:dyDescent="0.2">
      <c r="A59" s="115" t="s">
        <v>512</v>
      </c>
      <c r="B59" s="115" t="s">
        <v>39</v>
      </c>
      <c r="D59" s="117">
        <v>0</v>
      </c>
      <c r="E59" s="117">
        <v>0</v>
      </c>
      <c r="F59" s="118">
        <f t="shared" si="2"/>
        <v>0</v>
      </c>
      <c r="G59" s="118"/>
      <c r="H59" s="117">
        <v>0</v>
      </c>
      <c r="I59" s="117">
        <v>0</v>
      </c>
      <c r="J59" s="118">
        <f t="shared" si="3"/>
        <v>0</v>
      </c>
      <c r="M59" s="117">
        <v>0</v>
      </c>
    </row>
    <row r="60" spans="1:13" s="115" customFormat="1" ht="12.75" x14ac:dyDescent="0.2">
      <c r="A60" s="115" t="s">
        <v>513</v>
      </c>
      <c r="B60" s="115" t="s">
        <v>40</v>
      </c>
      <c r="D60" s="117">
        <v>0</v>
      </c>
      <c r="E60" s="117">
        <v>0</v>
      </c>
      <c r="F60" s="118">
        <f t="shared" si="2"/>
        <v>0</v>
      </c>
      <c r="G60" s="118"/>
      <c r="H60" s="117">
        <v>0</v>
      </c>
      <c r="I60" s="117">
        <v>0</v>
      </c>
      <c r="J60" s="118">
        <f t="shared" si="3"/>
        <v>0</v>
      </c>
      <c r="M60" s="117">
        <v>0</v>
      </c>
    </row>
    <row r="61" spans="1:13" s="115" customFormat="1" ht="12.75" x14ac:dyDescent="0.2">
      <c r="A61" s="115" t="s">
        <v>514</v>
      </c>
      <c r="B61" s="115" t="s">
        <v>41</v>
      </c>
      <c r="D61" s="117">
        <v>0</v>
      </c>
      <c r="E61" s="117">
        <v>0</v>
      </c>
      <c r="F61" s="118">
        <f t="shared" si="2"/>
        <v>0</v>
      </c>
      <c r="G61" s="118"/>
      <c r="H61" s="117">
        <v>0</v>
      </c>
      <c r="I61" s="117">
        <v>0</v>
      </c>
      <c r="J61" s="118">
        <f t="shared" si="3"/>
        <v>0</v>
      </c>
      <c r="M61" s="117">
        <v>0</v>
      </c>
    </row>
    <row r="62" spans="1:13" s="115" customFormat="1" ht="12.75" x14ac:dyDescent="0.2">
      <c r="A62" s="115" t="s">
        <v>515</v>
      </c>
      <c r="B62" s="115" t="s">
        <v>42</v>
      </c>
      <c r="D62" s="117">
        <v>0</v>
      </c>
      <c r="E62" s="117">
        <v>0</v>
      </c>
      <c r="F62" s="118">
        <f t="shared" si="2"/>
        <v>0</v>
      </c>
      <c r="G62" s="118"/>
      <c r="H62" s="117">
        <v>0</v>
      </c>
      <c r="I62" s="117">
        <v>0</v>
      </c>
      <c r="J62" s="118">
        <f t="shared" si="3"/>
        <v>0</v>
      </c>
      <c r="M62" s="117">
        <v>0</v>
      </c>
    </row>
    <row r="63" spans="1:13" s="115" customFormat="1" ht="12.75" x14ac:dyDescent="0.2">
      <c r="A63" s="115" t="s">
        <v>516</v>
      </c>
      <c r="B63" s="115" t="s">
        <v>43</v>
      </c>
      <c r="D63" s="117">
        <v>0</v>
      </c>
      <c r="E63" s="117">
        <v>0</v>
      </c>
      <c r="F63" s="118">
        <f t="shared" si="2"/>
        <v>0</v>
      </c>
      <c r="G63" s="118"/>
      <c r="H63" s="117">
        <v>0</v>
      </c>
      <c r="I63" s="117">
        <v>0</v>
      </c>
      <c r="J63" s="118">
        <f t="shared" si="3"/>
        <v>0</v>
      </c>
      <c r="M63" s="117">
        <v>0</v>
      </c>
    </row>
    <row r="64" spans="1:13" s="115" customFormat="1" ht="12.75" x14ac:dyDescent="0.2">
      <c r="A64" s="115" t="s">
        <v>517</v>
      </c>
      <c r="B64" s="115" t="s">
        <v>44</v>
      </c>
      <c r="D64" s="117">
        <v>0</v>
      </c>
      <c r="E64" s="117">
        <v>0</v>
      </c>
      <c r="F64" s="118">
        <f t="shared" si="2"/>
        <v>0</v>
      </c>
      <c r="G64" s="118"/>
      <c r="H64" s="117">
        <v>0</v>
      </c>
      <c r="I64" s="117">
        <v>0</v>
      </c>
      <c r="J64" s="118">
        <f t="shared" si="3"/>
        <v>0</v>
      </c>
      <c r="M64" s="117">
        <v>0</v>
      </c>
    </row>
    <row r="65" spans="1:13" s="115" customFormat="1" ht="13.5" thickBot="1" x14ac:dyDescent="0.25">
      <c r="D65" s="51">
        <f>SUM(D9:D64)</f>
        <v>0</v>
      </c>
      <c r="E65" s="51">
        <f>SUM(E9:E64)</f>
        <v>0</v>
      </c>
      <c r="F65" s="51">
        <f>SUM(F9:F64)</f>
        <v>0</v>
      </c>
      <c r="H65" s="51">
        <f>SUM(H9:H64)</f>
        <v>0</v>
      </c>
      <c r="I65" s="51">
        <f>SUM(I9:I64)</f>
        <v>0</v>
      </c>
      <c r="J65" s="51">
        <f>SUM(J9:J64)</f>
        <v>0</v>
      </c>
      <c r="M65" s="51">
        <f>SUM(M9:M64)</f>
        <v>0</v>
      </c>
    </row>
    <row r="66" spans="1:13" s="115" customFormat="1" ht="13.5" thickTop="1" x14ac:dyDescent="0.2"/>
    <row r="67" spans="1:13" s="115" customFormat="1" ht="12.75" x14ac:dyDescent="0.2"/>
    <row r="68" spans="1:13" s="115" customFormat="1" ht="12.75" x14ac:dyDescent="0.2">
      <c r="A68" s="123" t="s">
        <v>63</v>
      </c>
      <c r="E68" s="485" t="s">
        <v>244</v>
      </c>
      <c r="F68" s="485"/>
      <c r="G68" s="122"/>
      <c r="H68" s="122"/>
      <c r="I68" s="485" t="s">
        <v>244</v>
      </c>
      <c r="J68" s="485"/>
      <c r="M68" s="125" t="s">
        <v>245</v>
      </c>
    </row>
    <row r="69" spans="1:13" s="115" customFormat="1" ht="12.75" x14ac:dyDescent="0.2">
      <c r="E69" s="124" t="str">
        <f>D6</f>
        <v>FY2023</v>
      </c>
      <c r="F69" s="124" t="s">
        <v>64</v>
      </c>
      <c r="G69" s="122"/>
      <c r="H69" s="122"/>
      <c r="I69" s="124" t="str">
        <f>H6</f>
        <v>FY2024</v>
      </c>
      <c r="J69" s="124" t="s">
        <v>64</v>
      </c>
      <c r="M69" s="124" t="str">
        <f>H6</f>
        <v>FY2024</v>
      </c>
    </row>
    <row r="70" spans="1:13" s="115" customFormat="1" ht="12.75" x14ac:dyDescent="0.2">
      <c r="A70" s="113" t="s">
        <v>65</v>
      </c>
      <c r="E70" s="49">
        <f>F9+F10+F11+F12+F13+F14+F15+F16+F28+F29+F30+F31+F32+F33+F34+F35+F47+F48+F49+F50+F51+F52+F53+F54</f>
        <v>0</v>
      </c>
      <c r="F70" s="50">
        <f>IF($E$81=0,0,E70/$E$81)</f>
        <v>0</v>
      </c>
      <c r="I70" s="49">
        <f>J9+J10+J11+J12+J13+J14+J15+J16+J28+J29+J30+J31+J32+J33+J34+J35+J47+J48+J49+J50+J51+J52+J53+J54</f>
        <v>0</v>
      </c>
      <c r="J70" s="50">
        <f>IF($I$81=0,0,I70/$I$81)</f>
        <v>0</v>
      </c>
      <c r="M70" s="49">
        <f>M9+M10+M11+M12+M13+M14+M15+M16+M28+M29+M30+M31+M32+M33+M34+M35+M47+M48+M49+M50+M51+M52+M53+M54</f>
        <v>0</v>
      </c>
    </row>
    <row r="71" spans="1:13" s="115" customFormat="1" ht="12.75" x14ac:dyDescent="0.2">
      <c r="A71" s="113" t="s">
        <v>66</v>
      </c>
      <c r="E71" s="49">
        <f>F17+F36+F55</f>
        <v>0</v>
      </c>
      <c r="F71" s="50">
        <f t="shared" ref="F71:F81" si="4">IF($E$81=0,0,E71/$E$81)</f>
        <v>0</v>
      </c>
      <c r="I71" s="49">
        <f>J17+J36+J55</f>
        <v>0</v>
      </c>
      <c r="J71" s="50">
        <f t="shared" ref="J71:J81" si="5">IF($I$81=0,0,I71/$I$81)</f>
        <v>0</v>
      </c>
      <c r="M71" s="49">
        <f>M17+M36+M55</f>
        <v>0</v>
      </c>
    </row>
    <row r="72" spans="1:13" s="115" customFormat="1" ht="12.75" x14ac:dyDescent="0.2">
      <c r="A72" s="113" t="s">
        <v>67</v>
      </c>
      <c r="E72" s="49">
        <f t="shared" ref="E72:E80" si="6">F18+F37+F56</f>
        <v>0</v>
      </c>
      <c r="F72" s="50">
        <f t="shared" si="4"/>
        <v>0</v>
      </c>
      <c r="I72" s="49">
        <f t="shared" ref="I72:I80" si="7">J18+J37+J56</f>
        <v>0</v>
      </c>
      <c r="J72" s="50">
        <f t="shared" si="5"/>
        <v>0</v>
      </c>
      <c r="M72" s="49">
        <f t="shared" ref="M72:M80" si="8">M18+M37+M56</f>
        <v>0</v>
      </c>
    </row>
    <row r="73" spans="1:13" s="115" customFormat="1" ht="12.75" x14ac:dyDescent="0.2">
      <c r="A73" s="113" t="s">
        <v>68</v>
      </c>
      <c r="E73" s="49">
        <f t="shared" si="6"/>
        <v>0</v>
      </c>
      <c r="F73" s="50">
        <f t="shared" si="4"/>
        <v>0</v>
      </c>
      <c r="I73" s="49">
        <f t="shared" si="7"/>
        <v>0</v>
      </c>
      <c r="J73" s="50">
        <f t="shared" si="5"/>
        <v>0</v>
      </c>
      <c r="M73" s="49">
        <f t="shared" si="8"/>
        <v>0</v>
      </c>
    </row>
    <row r="74" spans="1:13" s="115" customFormat="1" ht="12.75" x14ac:dyDescent="0.2">
      <c r="A74" s="113" t="s">
        <v>69</v>
      </c>
      <c r="E74" s="49">
        <f t="shared" si="6"/>
        <v>0</v>
      </c>
      <c r="F74" s="50">
        <f t="shared" si="4"/>
        <v>0</v>
      </c>
      <c r="I74" s="49">
        <f t="shared" si="7"/>
        <v>0</v>
      </c>
      <c r="J74" s="50">
        <f t="shared" si="5"/>
        <v>0</v>
      </c>
      <c r="M74" s="49">
        <f t="shared" si="8"/>
        <v>0</v>
      </c>
    </row>
    <row r="75" spans="1:13" s="115" customFormat="1" ht="12.75" x14ac:dyDescent="0.2">
      <c r="A75" s="113" t="s">
        <v>70</v>
      </c>
      <c r="E75" s="49">
        <f t="shared" si="6"/>
        <v>0</v>
      </c>
      <c r="F75" s="50">
        <f t="shared" si="4"/>
        <v>0</v>
      </c>
      <c r="I75" s="49">
        <f t="shared" si="7"/>
        <v>0</v>
      </c>
      <c r="J75" s="50">
        <f t="shared" si="5"/>
        <v>0</v>
      </c>
      <c r="M75" s="49">
        <f t="shared" si="8"/>
        <v>0</v>
      </c>
    </row>
    <row r="76" spans="1:13" s="115" customFormat="1" ht="12.75" x14ac:dyDescent="0.2">
      <c r="A76" s="113" t="s">
        <v>71</v>
      </c>
      <c r="E76" s="49">
        <f t="shared" si="6"/>
        <v>0</v>
      </c>
      <c r="F76" s="50">
        <f t="shared" si="4"/>
        <v>0</v>
      </c>
      <c r="I76" s="49">
        <f t="shared" si="7"/>
        <v>0</v>
      </c>
      <c r="J76" s="50">
        <f t="shared" si="5"/>
        <v>0</v>
      </c>
      <c r="M76" s="49">
        <f t="shared" si="8"/>
        <v>0</v>
      </c>
    </row>
    <row r="77" spans="1:13" s="115" customFormat="1" ht="12.75" x14ac:dyDescent="0.2">
      <c r="A77" s="113" t="s">
        <v>72</v>
      </c>
      <c r="E77" s="49">
        <f t="shared" si="6"/>
        <v>0</v>
      </c>
      <c r="F77" s="50">
        <f t="shared" si="4"/>
        <v>0</v>
      </c>
      <c r="I77" s="49">
        <f t="shared" si="7"/>
        <v>0</v>
      </c>
      <c r="J77" s="50">
        <f t="shared" si="5"/>
        <v>0</v>
      </c>
      <c r="M77" s="49">
        <f t="shared" si="8"/>
        <v>0</v>
      </c>
    </row>
    <row r="78" spans="1:13" s="115" customFormat="1" ht="12.75" x14ac:dyDescent="0.2">
      <c r="A78" s="113" t="s">
        <v>73</v>
      </c>
      <c r="E78" s="49">
        <f t="shared" si="6"/>
        <v>0</v>
      </c>
      <c r="F78" s="50">
        <f t="shared" si="4"/>
        <v>0</v>
      </c>
      <c r="I78" s="49">
        <f t="shared" si="7"/>
        <v>0</v>
      </c>
      <c r="J78" s="50">
        <f t="shared" si="5"/>
        <v>0</v>
      </c>
      <c r="M78" s="49">
        <f t="shared" si="8"/>
        <v>0</v>
      </c>
    </row>
    <row r="79" spans="1:13" s="115" customFormat="1" ht="12.75" x14ac:dyDescent="0.2">
      <c r="A79" s="113" t="s">
        <v>74</v>
      </c>
      <c r="E79" s="49">
        <f t="shared" si="6"/>
        <v>0</v>
      </c>
      <c r="F79" s="50">
        <f t="shared" si="4"/>
        <v>0</v>
      </c>
      <c r="I79" s="49">
        <f t="shared" si="7"/>
        <v>0</v>
      </c>
      <c r="J79" s="50">
        <f t="shared" si="5"/>
        <v>0</v>
      </c>
      <c r="M79" s="49">
        <f t="shared" si="8"/>
        <v>0</v>
      </c>
    </row>
    <row r="80" spans="1:13" s="115" customFormat="1" ht="12.75" x14ac:dyDescent="0.2">
      <c r="A80" s="113" t="s">
        <v>75</v>
      </c>
      <c r="E80" s="49">
        <f t="shared" si="6"/>
        <v>0</v>
      </c>
      <c r="F80" s="50">
        <f t="shared" si="4"/>
        <v>0</v>
      </c>
      <c r="I80" s="49">
        <f t="shared" si="7"/>
        <v>0</v>
      </c>
      <c r="J80" s="50">
        <f t="shared" si="5"/>
        <v>0</v>
      </c>
      <c r="M80" s="49">
        <f t="shared" si="8"/>
        <v>0</v>
      </c>
    </row>
    <row r="81" spans="1:14" s="115" customFormat="1" ht="13.5" thickBot="1" x14ac:dyDescent="0.25">
      <c r="E81" s="51">
        <f>SUM(E70:E80)</f>
        <v>0</v>
      </c>
      <c r="F81" s="52">
        <f t="shared" si="4"/>
        <v>0</v>
      </c>
      <c r="I81" s="51">
        <f>SUM(I70:I80)</f>
        <v>0</v>
      </c>
      <c r="J81" s="52">
        <f t="shared" si="5"/>
        <v>0</v>
      </c>
      <c r="M81" s="51">
        <f>SUM(M70:M80)</f>
        <v>0</v>
      </c>
    </row>
    <row r="82" spans="1:14" s="115" customFormat="1" ht="13.5" thickTop="1" x14ac:dyDescent="0.2"/>
    <row r="83" spans="1:14" s="115" customFormat="1" ht="13.5" thickBot="1" x14ac:dyDescent="0.25"/>
    <row r="84" spans="1:14" s="115" customFormat="1" ht="13.5" thickBot="1" x14ac:dyDescent="0.25">
      <c r="E84" s="481" t="s">
        <v>329</v>
      </c>
      <c r="F84" s="482"/>
      <c r="G84" s="482"/>
      <c r="H84" s="482"/>
      <c r="I84" s="482"/>
      <c r="J84" s="482"/>
      <c r="K84" s="482"/>
      <c r="L84" s="482"/>
      <c r="M84" s="483"/>
    </row>
    <row r="85" spans="1:14" s="115" customFormat="1" ht="12.75" x14ac:dyDescent="0.2"/>
    <row r="86" spans="1:14" s="115" customFormat="1" ht="12.75" x14ac:dyDescent="0.2">
      <c r="J86" s="124" t="s">
        <v>330</v>
      </c>
      <c r="M86" s="124" t="str">
        <f>H6</f>
        <v>FY2024</v>
      </c>
    </row>
    <row r="87" spans="1:14" s="115" customFormat="1" ht="12.75" x14ac:dyDescent="0.2">
      <c r="I87" s="128" t="s">
        <v>366</v>
      </c>
      <c r="J87" s="129" t="s">
        <v>331</v>
      </c>
      <c r="K87" s="143"/>
      <c r="L87" s="143"/>
      <c r="M87" s="117">
        <v>0</v>
      </c>
    </row>
    <row r="88" spans="1:14" s="115" customFormat="1" ht="12.75" x14ac:dyDescent="0.2">
      <c r="I88" s="128" t="s">
        <v>367</v>
      </c>
      <c r="J88" s="129" t="s">
        <v>332</v>
      </c>
      <c r="K88" s="143"/>
      <c r="L88" s="143"/>
      <c r="M88" s="117">
        <v>0</v>
      </c>
      <c r="N88" s="115" t="s">
        <v>333</v>
      </c>
    </row>
    <row r="89" spans="1:14" s="115" customFormat="1" ht="13.5" thickBot="1" x14ac:dyDescent="0.25">
      <c r="K89" s="143"/>
      <c r="L89" s="143"/>
      <c r="M89" s="51">
        <f>SUM(M87:M88)</f>
        <v>0</v>
      </c>
    </row>
    <row r="90" spans="1:14" s="115" customFormat="1" ht="13.5" thickTop="1" x14ac:dyDescent="0.2"/>
    <row r="91" spans="1:14" s="115" customFormat="1" ht="12.75" x14ac:dyDescent="0.2">
      <c r="A91" s="477" t="s">
        <v>551</v>
      </c>
      <c r="B91" s="477"/>
      <c r="C91" s="477"/>
      <c r="D91" s="477"/>
      <c r="E91" s="477"/>
      <c r="F91" s="477"/>
      <c r="G91" s="477"/>
      <c r="H91" s="477"/>
      <c r="I91" s="477"/>
      <c r="J91" s="477"/>
      <c r="K91" s="477"/>
      <c r="L91" s="477"/>
    </row>
    <row r="92" spans="1:14" s="115" customFormat="1" ht="12.75" x14ac:dyDescent="0.2">
      <c r="A92" s="477"/>
      <c r="B92" s="477"/>
      <c r="C92" s="477"/>
      <c r="D92" s="477"/>
      <c r="E92" s="477"/>
      <c r="F92" s="477"/>
      <c r="G92" s="477"/>
      <c r="H92" s="477"/>
      <c r="I92" s="477"/>
      <c r="J92" s="477"/>
      <c r="K92" s="477"/>
      <c r="L92" s="477"/>
    </row>
    <row r="93" spans="1:14" s="115" customFormat="1" ht="12.75" x14ac:dyDescent="0.2">
      <c r="A93" s="477"/>
      <c r="B93" s="477"/>
      <c r="C93" s="477"/>
      <c r="D93" s="477"/>
      <c r="E93" s="477"/>
      <c r="F93" s="477"/>
      <c r="G93" s="477"/>
      <c r="H93" s="477"/>
      <c r="I93" s="477"/>
      <c r="J93" s="477"/>
      <c r="K93" s="477"/>
      <c r="L93" s="477"/>
    </row>
    <row r="94" spans="1:14" s="115" customFormat="1" ht="12.75" x14ac:dyDescent="0.2">
      <c r="A94" s="477"/>
      <c r="B94" s="477"/>
      <c r="C94" s="477"/>
      <c r="D94" s="477"/>
      <c r="E94" s="477"/>
      <c r="F94" s="477"/>
      <c r="G94" s="477"/>
      <c r="H94" s="477"/>
      <c r="I94" s="477"/>
      <c r="J94" s="477"/>
      <c r="K94" s="477"/>
      <c r="L94" s="477"/>
    </row>
    <row r="95" spans="1:14" s="115" customFormat="1" ht="12.75" x14ac:dyDescent="0.2">
      <c r="A95" s="477"/>
      <c r="B95" s="477"/>
      <c r="C95" s="477"/>
      <c r="D95" s="477"/>
      <c r="E95" s="477"/>
      <c r="F95" s="477"/>
      <c r="G95" s="477"/>
      <c r="H95" s="477"/>
      <c r="I95" s="477"/>
      <c r="J95" s="477"/>
      <c r="K95" s="477"/>
      <c r="L95" s="477"/>
    </row>
    <row r="96" spans="1:14" s="115" customFormat="1" ht="12.75" x14ac:dyDescent="0.2"/>
    <row r="97" s="115" customFormat="1" ht="12.75" x14ac:dyDescent="0.2"/>
  </sheetData>
  <sheetProtection algorithmName="SHA-512" hashValue="B9rBECes31OlQVc9N00JFVku5ihpg1zIi9X2JqT009v7whASbbvW0T+NQGhRWyZ0tgyxz7PHQy8QD8Y6OZ63tw==" saltValue="92KV05hr1pAM8zf0r0zplQ==" spinCount="100000" sheet="1" objects="1" scenarios="1"/>
  <mergeCells count="7">
    <mergeCell ref="A91:L95"/>
    <mergeCell ref="E84:M84"/>
    <mergeCell ref="H1:M1"/>
    <mergeCell ref="D6:F6"/>
    <mergeCell ref="H6:J6"/>
    <mergeCell ref="E68:F68"/>
    <mergeCell ref="I68:J68"/>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33</vt:i4>
      </vt:variant>
    </vt:vector>
  </HeadingPairs>
  <TitlesOfParts>
    <vt:vector size="57" baseType="lpstr">
      <vt:lpstr>GASB 68 JEs</vt:lpstr>
      <vt:lpstr>Sheet3</vt:lpstr>
      <vt:lpstr>GASB 68 Sch Input CY</vt:lpstr>
      <vt:lpstr>CY Calculations</vt:lpstr>
      <vt:lpstr>GASB 68 Sch Input PY </vt:lpstr>
      <vt:lpstr>Amortization Input CY</vt:lpstr>
      <vt:lpstr>Ret Contr Input - LEA</vt:lpstr>
      <vt:lpstr>Ret Contr Input - RESA</vt:lpstr>
      <vt:lpstr>Ret Contr Input - MCVC</vt:lpstr>
      <vt:lpstr>RESA Proportion</vt:lpstr>
      <vt:lpstr>MCVC Proportion</vt:lpstr>
      <vt:lpstr>Summary of GASB 68 Activity</vt:lpstr>
      <vt:lpstr>Change in Proportion - LEA</vt:lpstr>
      <vt:lpstr>Change in Proportion - RESAs</vt:lpstr>
      <vt:lpstr>Change in Proportion - MCVCs</vt:lpstr>
      <vt:lpstr>Net LEA Amounts</vt:lpstr>
      <vt:lpstr>GASB 68 State Aid Support</vt:lpstr>
      <vt:lpstr>Notes Section</vt:lpstr>
      <vt:lpstr>NPL Assoc. w LEA</vt:lpstr>
      <vt:lpstr>Pension Deferred In_outflows</vt:lpstr>
      <vt:lpstr>Amort. of Def. Amounts</vt:lpstr>
      <vt:lpstr>Sensitivity Analysis</vt:lpstr>
      <vt:lpstr>Prop Share of NPL</vt:lpstr>
      <vt:lpstr>Schedule of District Contrib</vt:lpstr>
      <vt:lpstr>Allocable_Pension_Expense</vt:lpstr>
      <vt:lpstr>Amort_Change_In_Proportion_LEA</vt:lpstr>
      <vt:lpstr>Amort_Change_In_Proportion_MCVC</vt:lpstr>
      <vt:lpstr>Amort_Change_In_Proportion_RESA</vt:lpstr>
      <vt:lpstr>Amortization</vt:lpstr>
      <vt:lpstr>DI_Assumptions</vt:lpstr>
      <vt:lpstr>DI_Experience</vt:lpstr>
      <vt:lpstr>DI_Investments</vt:lpstr>
      <vt:lpstr>DI_Note</vt:lpstr>
      <vt:lpstr>DI_Proportion</vt:lpstr>
      <vt:lpstr>DI_Total</vt:lpstr>
      <vt:lpstr>DO_Assumptions</vt:lpstr>
      <vt:lpstr>DO_Experience</vt:lpstr>
      <vt:lpstr>DO_Investments</vt:lpstr>
      <vt:lpstr>DO_Note</vt:lpstr>
      <vt:lpstr>DO_Proportion</vt:lpstr>
      <vt:lpstr>DO_Total</vt:lpstr>
      <vt:lpstr>Future_Amort</vt:lpstr>
      <vt:lpstr>JEs_In_Balance</vt:lpstr>
      <vt:lpstr>Net_Deferred_In_Outflows_Reconcile</vt:lpstr>
      <vt:lpstr>Net_Pension_Expense</vt:lpstr>
      <vt:lpstr>NPL</vt:lpstr>
      <vt:lpstr>Pension_Expense_Reconciles</vt:lpstr>
      <vt:lpstr>'Amort. of Def. Amounts'!Print_Area</vt:lpstr>
      <vt:lpstr>'GASB 68 JEs'!Print_Area</vt:lpstr>
      <vt:lpstr>'Notes Section'!Print_Area</vt:lpstr>
      <vt:lpstr>'NPL Assoc. w LEA'!Print_Area</vt:lpstr>
      <vt:lpstr>'Pension Deferred In_outflows'!Print_Area</vt:lpstr>
      <vt:lpstr>'Prop Share of NPL'!Print_Area</vt:lpstr>
      <vt:lpstr>'Schedule of District Contrib'!Print_Area</vt:lpstr>
      <vt:lpstr>'Sensitivity Analysis'!Print_Area</vt:lpstr>
      <vt:lpstr>State_Aid_Outside_of_Sp_Funding</vt:lpstr>
      <vt:lpstr>Valid_Entity_Type</vt:lpstr>
    </vt:vector>
  </TitlesOfParts>
  <Company>Arnett &amp; Foster, PLLC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Arnett &amp; Foster</dc:creator>
  <cp:lastModifiedBy>Joshua Harner</cp:lastModifiedBy>
  <cp:lastPrinted>2018-07-05T14:20:03Z</cp:lastPrinted>
  <dcterms:created xsi:type="dcterms:W3CDTF">2001-05-21T17:52:01Z</dcterms:created>
  <dcterms:modified xsi:type="dcterms:W3CDTF">2024-07-15T14:53:51Z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60f4a70-4b6c-4bd4-a002-31edb9c00abe_Enabled">
    <vt:lpwstr>true</vt:lpwstr>
  </property>
  <property fmtid="{D5CDD505-2E9C-101B-9397-08002B2CF9AE}" pid="3" name="MSIP_Label_460f4a70-4b6c-4bd4-a002-31edb9c00abe_SetDate">
    <vt:lpwstr>2022-09-07T15:24:08Z</vt:lpwstr>
  </property>
  <property fmtid="{D5CDD505-2E9C-101B-9397-08002B2CF9AE}" pid="4" name="MSIP_Label_460f4a70-4b6c-4bd4-a002-31edb9c00abe_Method">
    <vt:lpwstr>Standard</vt:lpwstr>
  </property>
  <property fmtid="{D5CDD505-2E9C-101B-9397-08002B2CF9AE}" pid="5" name="MSIP_Label_460f4a70-4b6c-4bd4-a002-31edb9c00abe_Name">
    <vt:lpwstr>General</vt:lpwstr>
  </property>
  <property fmtid="{D5CDD505-2E9C-101B-9397-08002B2CF9AE}" pid="6" name="MSIP_Label_460f4a70-4b6c-4bd4-a002-31edb9c00abe_SiteId">
    <vt:lpwstr>e019b04b-330c-467a-8bae-09fb17374d6a</vt:lpwstr>
  </property>
  <property fmtid="{D5CDD505-2E9C-101B-9397-08002B2CF9AE}" pid="7" name="MSIP_Label_460f4a70-4b6c-4bd4-a002-31edb9c00abe_ActionId">
    <vt:lpwstr>944cfd55-072f-40d8-a702-5b77092c0a48</vt:lpwstr>
  </property>
  <property fmtid="{D5CDD505-2E9C-101B-9397-08002B2CF9AE}" pid="8" name="MSIP_Label_460f4a70-4b6c-4bd4-a002-31edb9c00abe_ContentBits">
    <vt:lpwstr>0</vt:lpwstr>
  </property>
</Properties>
</file>